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春萌园\"/>
    </mc:Choice>
  </mc:AlternateContent>
  <bookViews>
    <workbookView xWindow="0" yWindow="0" windowWidth="16890" windowHeight="74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法拍" sheetId="82" r:id="rId19"/>
    <sheet name="挂牌" sheetId="86" r:id="rId20"/>
    <sheet name="市调" sheetId="90" r:id="rId21"/>
    <sheet name="三部案例" sheetId="80" r:id="rId22"/>
    <sheet name="市场分析" sheetId="89" state="hidden" r:id="rId23"/>
    <sheet name="比较法-住宅" sheetId="21" r:id="rId24"/>
    <sheet name="收益法" sheetId="15" r:id="rId25"/>
    <sheet name="公共部分" sheetId="84" state="hidden" r:id="rId26"/>
    <sheet name="收益法 (2)" sheetId="83" state="hidden" r:id="rId27"/>
    <sheet name="收益法 (元)" sheetId="67" state="hidden" r:id="rId28"/>
    <sheet name="租金案例" sheetId="81" r:id="rId29"/>
    <sheet name="成本法 (元)" sheetId="69" state="hidden" r:id="rId30"/>
    <sheet name="假设开发法" sheetId="12"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3">'比较法-住宅'!$A$1:$K$54,'比较法-住宅'!$A$57:$M$131</definedName>
    <definedName name="_xlnm.Print_Area" localSheetId="17">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6">结果表!$A$1:$I$127</definedName>
    <definedName name="_xlnm.Print_Area" localSheetId="24">收益法!$A$1:$F$43,收益法!$H$3:$M$29,收益法!$A$46:$F$71,收益法!$I$46:$N$65</definedName>
    <definedName name="_xlnm.Print_Area" localSheetId="26">'收益法 (2)'!$A$1:$F$43,'收益法 (2)'!$H$3:$M$29,'收益法 (2)'!$A$46:$F$71,'收益法 (2)'!$I$46:$N$65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5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21" l="1"/>
  <c r="E92" i="21" s="1"/>
  <c r="E28" i="21"/>
  <c r="E47" i="21"/>
  <c r="I33" i="21"/>
  <c r="G33" i="21"/>
  <c r="E33" i="21"/>
  <c r="I44" i="21"/>
  <c r="G44" i="21"/>
  <c r="E44" i="21"/>
  <c r="I7" i="21"/>
  <c r="G7" i="21"/>
  <c r="E7" i="21"/>
  <c r="L26" i="90"/>
  <c r="L27" i="90"/>
  <c r="L28" i="90"/>
  <c r="L29" i="90"/>
  <c r="L30" i="90"/>
  <c r="L25" i="90"/>
  <c r="L24" i="90"/>
  <c r="L23" i="90"/>
  <c r="L22" i="90"/>
  <c r="L21" i="90"/>
  <c r="L18" i="90"/>
  <c r="L19" i="90"/>
  <c r="I47" i="21" s="1"/>
  <c r="L20" i="90"/>
  <c r="L13" i="90"/>
  <c r="L14" i="90"/>
  <c r="L15" i="90"/>
  <c r="L16" i="90"/>
  <c r="L17" i="90"/>
  <c r="L5" i="90"/>
  <c r="L4" i="90"/>
  <c r="L6" i="90"/>
  <c r="L7" i="90"/>
  <c r="L8" i="90"/>
  <c r="L9" i="90"/>
  <c r="L10" i="90"/>
  <c r="L11" i="90"/>
  <c r="G47" i="21" s="1"/>
  <c r="L12" i="90"/>
  <c r="L3" i="90"/>
  <c r="H8" i="82"/>
  <c r="E7" i="82"/>
  <c r="E8" i="82"/>
  <c r="H7" i="82"/>
  <c r="H6" i="82"/>
  <c r="E6" i="82"/>
  <c r="H5" i="82"/>
  <c r="H4" i="82"/>
  <c r="H3" i="82"/>
  <c r="H2" i="82"/>
  <c r="E2" i="82"/>
  <c r="M5" i="81"/>
  <c r="M6" i="81"/>
  <c r="M7" i="81"/>
  <c r="M8" i="81"/>
  <c r="M9" i="81"/>
  <c r="M10" i="81"/>
  <c r="M11" i="81"/>
  <c r="M12" i="81"/>
  <c r="M13" i="81"/>
  <c r="M4" i="81"/>
  <c r="M14" i="81" s="1"/>
  <c r="F11" i="89" l="1"/>
  <c r="F19" i="89"/>
  <c r="F17" i="89"/>
  <c r="E5" i="21"/>
  <c r="C126" i="21"/>
  <c r="D126" i="21"/>
  <c r="D92" i="21"/>
  <c r="C92" i="21"/>
  <c r="F28" i="21" s="1"/>
  <c r="AA28" i="21" s="1"/>
  <c r="M5" i="80"/>
  <c r="D3" i="4"/>
  <c r="G7" i="83"/>
  <c r="G6" i="83"/>
  <c r="C2" i="84"/>
  <c r="D6" i="84"/>
  <c r="F43" i="83"/>
  <c r="F71" i="83" s="1"/>
  <c r="D7" i="84"/>
  <c r="D8" i="84"/>
  <c r="Q72" i="83"/>
  <c r="C62" i="83"/>
  <c r="C61" i="83"/>
  <c r="C60" i="83"/>
  <c r="Q59" i="83"/>
  <c r="K59" i="83"/>
  <c r="P61" i="83" s="1"/>
  <c r="Q58" i="83"/>
  <c r="Q51" i="83"/>
  <c r="J50" i="83"/>
  <c r="M47" i="83"/>
  <c r="L46" i="83" s="1"/>
  <c r="D46" i="83"/>
  <c r="C34" i="83"/>
  <c r="F33" i="83"/>
  <c r="F61" i="83" s="1"/>
  <c r="C33" i="83"/>
  <c r="C32" i="83"/>
  <c r="F23" i="83"/>
  <c r="D22" i="83" s="1"/>
  <c r="F21" i="83"/>
  <c r="F20" i="83"/>
  <c r="M19" i="83"/>
  <c r="F18" i="83"/>
  <c r="F17" i="83"/>
  <c r="F15" i="83"/>
  <c r="P74" i="83"/>
  <c r="D23" i="83"/>
  <c r="D24" i="83"/>
  <c r="I54" i="83"/>
  <c r="C27" i="83"/>
  <c r="F50" i="83"/>
  <c r="M7" i="83"/>
  <c r="C37" i="21"/>
  <c r="G37" i="21" s="1"/>
  <c r="B55" i="1"/>
  <c r="B56" i="1"/>
  <c r="B57" i="1"/>
  <c r="B58" i="1"/>
  <c r="B59" i="1"/>
  <c r="B54" i="1"/>
  <c r="Y6" i="1"/>
  <c r="O19" i="1"/>
  <c r="O20" i="1" s="1"/>
  <c r="O21" i="1" s="1"/>
  <c r="P21" i="1" s="1"/>
  <c r="E37" i="21"/>
  <c r="I37" i="21"/>
  <c r="F19" i="6"/>
  <c r="G14" i="73"/>
  <c r="F14" i="73"/>
  <c r="E14" i="73"/>
  <c r="L26" i="79"/>
  <c r="M26" i="79"/>
  <c r="P26" i="79"/>
  <c r="N26" i="79"/>
  <c r="L27" i="79"/>
  <c r="M27" i="79"/>
  <c r="P27" i="79"/>
  <c r="N27" i="79"/>
  <c r="L28" i="79"/>
  <c r="M28" i="79"/>
  <c r="N28" i="79"/>
  <c r="I26" i="79"/>
  <c r="I27" i="79"/>
  <c r="I28" i="79"/>
  <c r="I6" i="79"/>
  <c r="I7" i="79"/>
  <c r="I8" i="79"/>
  <c r="K6" i="79"/>
  <c r="L6" i="79"/>
  <c r="M6" i="79"/>
  <c r="P6" i="79" s="1"/>
  <c r="N6" i="79"/>
  <c r="O6" i="79"/>
  <c r="K7" i="79"/>
  <c r="L7" i="79"/>
  <c r="M7" i="79"/>
  <c r="P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s="1"/>
  <c r="D5" i="78"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E93" i="43" s="1"/>
  <c r="B91" i="43" s="1"/>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L23" i="79" s="1"/>
  <c r="I36" i="79"/>
  <c r="AD36" i="79"/>
  <c r="AB35" i="79"/>
  <c r="AA35" i="79"/>
  <c r="Z35" i="79"/>
  <c r="N35" i="79"/>
  <c r="U35" i="79"/>
  <c r="M35" i="79"/>
  <c r="M23" i="79" s="1"/>
  <c r="P23" i="79" s="1"/>
  <c r="L35" i="79"/>
  <c r="S35" i="79" s="1"/>
  <c r="I35" i="79"/>
  <c r="AB34" i="79"/>
  <c r="AA34" i="79"/>
  <c r="Z34" i="79"/>
  <c r="N34" i="79"/>
  <c r="M34" i="79"/>
  <c r="L34" i="79"/>
  <c r="I34" i="79"/>
  <c r="AD34" i="79" s="1"/>
  <c r="AB33" i="79"/>
  <c r="AA33" i="79"/>
  <c r="Z33" i="79"/>
  <c r="N33" i="79"/>
  <c r="U33" i="79" s="1"/>
  <c r="M33" i="79"/>
  <c r="L33" i="79"/>
  <c r="I33" i="79"/>
  <c r="AB32" i="79"/>
  <c r="AA32" i="79"/>
  <c r="Z32" i="79"/>
  <c r="N32" i="79"/>
  <c r="M32" i="79"/>
  <c r="L32" i="79"/>
  <c r="I32" i="79"/>
  <c r="AB31" i="79"/>
  <c r="AB23" i="79" s="1"/>
  <c r="AA31" i="79"/>
  <c r="Z31" i="79"/>
  <c r="N31" i="79"/>
  <c r="M31" i="79"/>
  <c r="L31" i="79"/>
  <c r="I31" i="79"/>
  <c r="AB30" i="79"/>
  <c r="AA30" i="79"/>
  <c r="Z30" i="79"/>
  <c r="N30" i="79"/>
  <c r="M30" i="79"/>
  <c r="L30" i="79"/>
  <c r="S30" i="79" s="1"/>
  <c r="I30" i="79"/>
  <c r="AD30" i="79" s="1"/>
  <c r="AB29" i="79"/>
  <c r="AA29" i="79"/>
  <c r="Z29" i="79"/>
  <c r="N29" i="79"/>
  <c r="M29" i="79"/>
  <c r="L29" i="79"/>
  <c r="S23" i="79" s="1"/>
  <c r="I29" i="79"/>
  <c r="AB25" i="79"/>
  <c r="AA25" i="79"/>
  <c r="AA23" i="79" s="1"/>
  <c r="AD23" i="79" s="1"/>
  <c r="Z25" i="79"/>
  <c r="Z23" i="79" s="1"/>
  <c r="N25" i="79"/>
  <c r="M25" i="79"/>
  <c r="L25" i="79"/>
  <c r="I25" i="79"/>
  <c r="AD25" i="79"/>
  <c r="G23" i="79"/>
  <c r="F23" i="79"/>
  <c r="I23" i="79" s="1"/>
  <c r="E23" i="79"/>
  <c r="AC16" i="79"/>
  <c r="AB16" i="79"/>
  <c r="AA16" i="79"/>
  <c r="AD16" i="79" s="1"/>
  <c r="Z16" i="79"/>
  <c r="Y16" i="79"/>
  <c r="W16" i="79"/>
  <c r="O16" i="79"/>
  <c r="N16" i="79"/>
  <c r="M16" i="79"/>
  <c r="P16" i="79"/>
  <c r="L16" i="79"/>
  <c r="K16" i="79"/>
  <c r="I16" i="79"/>
  <c r="AC15" i="79"/>
  <c r="AB15" i="79"/>
  <c r="AA15" i="79"/>
  <c r="AD15" i="79"/>
  <c r="Z15" i="79"/>
  <c r="Y15" i="79"/>
  <c r="O15" i="79"/>
  <c r="V15" i="79"/>
  <c r="N15" i="79"/>
  <c r="U15" i="79" s="1"/>
  <c r="M15" i="79"/>
  <c r="P15" i="79"/>
  <c r="L15" i="79"/>
  <c r="S15" i="79" s="1"/>
  <c r="K15" i="79"/>
  <c r="R15" i="79"/>
  <c r="I15" i="79"/>
  <c r="AC14" i="79"/>
  <c r="AB14" i="79"/>
  <c r="AA14" i="79"/>
  <c r="AD14" i="79" s="1"/>
  <c r="Z14" i="79"/>
  <c r="Y14" i="79"/>
  <c r="O14" i="79"/>
  <c r="V13" i="79" s="1"/>
  <c r="N14" i="79"/>
  <c r="M14" i="79"/>
  <c r="L14" i="79"/>
  <c r="S14" i="79" s="1"/>
  <c r="K14" i="79"/>
  <c r="I14" i="79"/>
  <c r="AC13" i="79"/>
  <c r="AB13" i="79"/>
  <c r="AA13" i="79"/>
  <c r="AD13" i="79"/>
  <c r="Z13" i="79"/>
  <c r="Y13" i="79"/>
  <c r="O13" i="79"/>
  <c r="N13" i="79"/>
  <c r="M13" i="79"/>
  <c r="T10" i="79" s="1"/>
  <c r="W10" i="79" s="1"/>
  <c r="L13" i="79"/>
  <c r="K13" i="79"/>
  <c r="R13" i="79" s="1"/>
  <c r="I13" i="79"/>
  <c r="AD12" i="79"/>
  <c r="AC12" i="79"/>
  <c r="AB12" i="79"/>
  <c r="AA12" i="79"/>
  <c r="Z12" i="79"/>
  <c r="Y12" i="79"/>
  <c r="O12" i="79"/>
  <c r="N12" i="79"/>
  <c r="M12" i="79"/>
  <c r="T12" i="79" s="1"/>
  <c r="W12" i="79" s="1"/>
  <c r="L12" i="79"/>
  <c r="K12" i="79"/>
  <c r="R12" i="79" s="1"/>
  <c r="I12" i="79"/>
  <c r="AC11" i="79"/>
  <c r="AB11" i="79"/>
  <c r="AA11" i="79"/>
  <c r="AD11" i="79" s="1"/>
  <c r="Z11" i="79"/>
  <c r="Y11" i="79"/>
  <c r="O11" i="79"/>
  <c r="V11" i="79" s="1"/>
  <c r="N11" i="79"/>
  <c r="M11" i="79"/>
  <c r="P11" i="79" s="1"/>
  <c r="L11" i="79"/>
  <c r="K11" i="79"/>
  <c r="I11" i="79"/>
  <c r="AC10" i="79"/>
  <c r="AB10" i="79"/>
  <c r="AA10" i="79"/>
  <c r="AD10" i="79" s="1"/>
  <c r="Z10" i="79"/>
  <c r="Y10" i="79"/>
  <c r="O10" i="79"/>
  <c r="V10" i="79" s="1"/>
  <c r="N10" i="79"/>
  <c r="M10" i="79"/>
  <c r="L10" i="79"/>
  <c r="K10" i="79"/>
  <c r="I10" i="79"/>
  <c r="AC9" i="79"/>
  <c r="AB9" i="79"/>
  <c r="AA9" i="79"/>
  <c r="Z9" i="79"/>
  <c r="Y9" i="79"/>
  <c r="Y3" i="79"/>
  <c r="O9" i="79"/>
  <c r="N9" i="79"/>
  <c r="M9" i="79"/>
  <c r="L9" i="79"/>
  <c r="S9" i="79" s="1"/>
  <c r="K9" i="79"/>
  <c r="I9" i="79"/>
  <c r="AC5" i="79"/>
  <c r="AB5" i="79"/>
  <c r="AB3" i="79" s="1"/>
  <c r="AA5" i="79"/>
  <c r="AD5" i="79"/>
  <c r="Z5" i="79"/>
  <c r="Y5" i="79"/>
  <c r="O5" i="79"/>
  <c r="N5" i="79"/>
  <c r="M5" i="79"/>
  <c r="P5" i="79" s="1"/>
  <c r="L5" i="79"/>
  <c r="L3" i="79" s="1"/>
  <c r="K5" i="79"/>
  <c r="I5" i="79"/>
  <c r="Z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12" i="79"/>
  <c r="R14" i="79"/>
  <c r="T14" i="79"/>
  <c r="W14" i="79"/>
  <c r="V14" i="79"/>
  <c r="S32" i="79"/>
  <c r="U34" i="79"/>
  <c r="AD35" i="79"/>
  <c r="S10" i="79"/>
  <c r="S31" i="79"/>
  <c r="T32" i="79"/>
  <c r="W32" i="79" s="1"/>
  <c r="T34" i="79"/>
  <c r="W34" i="79" s="1"/>
  <c r="T25" i="79"/>
  <c r="W25" i="79" s="1"/>
  <c r="S28" i="79"/>
  <c r="U26" i="79"/>
  <c r="V6" i="79"/>
  <c r="S6" i="79"/>
  <c r="U5" i="79"/>
  <c r="P12" i="79"/>
  <c r="P14" i="79"/>
  <c r="S25" i="79"/>
  <c r="P10" i="79"/>
  <c r="S4" i="43"/>
  <c r="S2" i="43"/>
  <c r="F38" i="43"/>
  <c r="F39" i="43"/>
  <c r="N1" i="43"/>
  <c r="M2" i="43"/>
  <c r="N2" i="43"/>
  <c r="M3" i="43"/>
  <c r="N3" i="43"/>
  <c r="M4" i="43"/>
  <c r="N4" i="43"/>
  <c r="M5" i="43"/>
  <c r="N5" i="43"/>
  <c r="F93" i="43"/>
  <c r="N10" i="43"/>
  <c r="N11" i="43"/>
  <c r="M6" i="43"/>
  <c r="N6" i="43"/>
  <c r="M7" i="43"/>
  <c r="N7" i="43"/>
  <c r="M8" i="43"/>
  <c r="N8" i="43"/>
  <c r="M9" i="43"/>
  <c r="N9" i="43"/>
  <c r="M10" i="43"/>
  <c r="M11" i="43"/>
  <c r="M12" i="43"/>
  <c r="C21" i="43"/>
  <c r="M21" i="43"/>
  <c r="O21" i="43"/>
  <c r="J21" i="43"/>
  <c r="G18" i="43"/>
  <c r="T11" i="79"/>
  <c r="W11" i="79" s="1"/>
  <c r="T15" i="79"/>
  <c r="W15" i="79" s="1"/>
  <c r="P25" i="79"/>
  <c r="P30" i="79"/>
  <c r="P32" i="79"/>
  <c r="P34" i="79"/>
  <c r="P31" i="79"/>
  <c r="P33" i="79"/>
  <c r="E25" i="78"/>
  <c r="E24" i="78"/>
  <c r="G24" i="78" s="1"/>
  <c r="F23" i="78"/>
  <c r="F24" i="78" s="1"/>
  <c r="F25" i="78" s="1"/>
  <c r="E23" i="78"/>
  <c r="E22" i="78"/>
  <c r="G22" i="78" s="1"/>
  <c r="F12" i="78"/>
  <c r="F11" i="78"/>
  <c r="C15" i="78" s="1"/>
  <c r="H100" i="43"/>
  <c r="H97" i="43"/>
  <c r="H95" i="43"/>
  <c r="H94" i="43"/>
  <c r="H98" i="43"/>
  <c r="H93" i="43"/>
  <c r="H101" i="43"/>
  <c r="H99" i="43"/>
  <c r="H96" i="43"/>
  <c r="G23"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R22" i="77"/>
  <c r="R21" i="77"/>
  <c r="R24" i="77" s="1"/>
  <c r="N19" i="77"/>
  <c r="R18" i="77"/>
  <c r="D18" i="77"/>
  <c r="R17" i="77"/>
  <c r="R19" i="77" s="1"/>
  <c r="D17" i="77"/>
  <c r="R16" i="77"/>
  <c r="D16" i="77"/>
  <c r="D15" i="77"/>
  <c r="M14" i="77"/>
  <c r="N14" i="77"/>
  <c r="D14" i="77"/>
  <c r="R13" i="77"/>
  <c r="R12" i="77"/>
  <c r="D12" i="77"/>
  <c r="R11" i="77"/>
  <c r="D11" i="77"/>
  <c r="E11" i="77" s="1"/>
  <c r="E7" i="77" s="1"/>
  <c r="C27" i="77" s="1"/>
  <c r="R10" i="77"/>
  <c r="D10" i="77"/>
  <c r="R9" i="77"/>
  <c r="D9" i="77"/>
  <c r="R8" i="77"/>
  <c r="R7" i="77"/>
  <c r="R4" i="77"/>
  <c r="R3" i="77"/>
  <c r="R35" i="77"/>
  <c r="U34" i="77" s="1"/>
  <c r="AH9" i="71"/>
  <c r="AG9" i="71"/>
  <c r="AE9" i="71"/>
  <c r="AF9" i="71" s="1"/>
  <c r="AD9" i="71"/>
  <c r="Q9" i="71"/>
  <c r="P9" i="71"/>
  <c r="O9" i="71"/>
  <c r="N9" i="71"/>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c r="F7" i="68"/>
  <c r="C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E24" i="71" s="1"/>
  <c r="O24" i="71"/>
  <c r="Q25" i="71"/>
  <c r="F24" i="71"/>
  <c r="F23" i="71" s="1"/>
  <c r="P25" i="71"/>
  <c r="O25" i="71"/>
  <c r="N25" i="71"/>
  <c r="B24" i="71"/>
  <c r="A2" i="53"/>
  <c r="B19" i="72"/>
  <c r="K59" i="67"/>
  <c r="P61" i="67" s="1"/>
  <c r="K59" i="15"/>
  <c r="P74" i="15" s="1"/>
  <c r="D115" i="39"/>
  <c r="E115" i="39"/>
  <c r="F115" i="39"/>
  <c r="G115" i="39"/>
  <c r="H115" i="39"/>
  <c r="I115" i="39"/>
  <c r="J115" i="39"/>
  <c r="K115" i="39"/>
  <c r="L115" i="39"/>
  <c r="M115" i="39"/>
  <c r="C115" i="39"/>
  <c r="A21" i="62"/>
  <c r="B67" i="72"/>
  <c r="A20" i="62"/>
  <c r="A22" i="51"/>
  <c r="A21" i="51"/>
  <c r="A20" i="51"/>
  <c r="B15" i="72" s="1"/>
  <c r="A15" i="62"/>
  <c r="B61" i="72" s="1"/>
  <c r="A14" i="62"/>
  <c r="B60" i="72" s="1"/>
  <c r="A13" i="62"/>
  <c r="B59" i="72"/>
  <c r="A19" i="62"/>
  <c r="B65" i="72" s="1"/>
  <c r="A12" i="62"/>
  <c r="B58" i="72"/>
  <c r="A120" i="9"/>
  <c r="H2" i="52"/>
  <c r="A1" i="52"/>
  <c r="A3" i="53"/>
  <c r="Q26" i="71"/>
  <c r="AB26" i="71" s="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s="1"/>
  <c r="E109" i="9"/>
  <c r="A124" i="9"/>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c r="B86" i="71" s="1"/>
  <c r="D85" i="71"/>
  <c r="F84" i="71"/>
  <c r="F83" i="71"/>
  <c r="E84" i="71"/>
  <c r="E83" i="71" s="1"/>
  <c r="E82" i="71" s="1"/>
  <c r="C84" i="71"/>
  <c r="D84" i="71"/>
  <c r="B84" i="71"/>
  <c r="B83" i="71"/>
  <c r="B82" i="71"/>
  <c r="F82" i="71"/>
  <c r="D81" i="71"/>
  <c r="Q80" i="71"/>
  <c r="P80" i="71"/>
  <c r="O80" i="71"/>
  <c r="N80" i="71"/>
  <c r="F80" i="71"/>
  <c r="F79" i="71" s="1"/>
  <c r="V80" i="71"/>
  <c r="E80" i="71"/>
  <c r="U80" i="71" s="1"/>
  <c r="C80" i="71"/>
  <c r="B80" i="71"/>
  <c r="S80" i="71"/>
  <c r="Q79" i="71"/>
  <c r="P79" i="71"/>
  <c r="O79" i="71"/>
  <c r="N79" i="71"/>
  <c r="F78" i="71"/>
  <c r="B79" i="71"/>
  <c r="B78" i="71" s="1"/>
  <c r="Q78" i="71"/>
  <c r="P78" i="71"/>
  <c r="O78" i="71"/>
  <c r="N78" i="71"/>
  <c r="Q77" i="71"/>
  <c r="P77" i="71"/>
  <c r="O77" i="71"/>
  <c r="N77" i="71"/>
  <c r="D77" i="71"/>
  <c r="Q76" i="71"/>
  <c r="P76" i="71"/>
  <c r="O76" i="71"/>
  <c r="N76" i="71"/>
  <c r="F76" i="71"/>
  <c r="F75" i="71" s="1"/>
  <c r="F74" i="71" s="1"/>
  <c r="E76" i="71"/>
  <c r="C76" i="71"/>
  <c r="T76" i="71"/>
  <c r="B76" i="71"/>
  <c r="S76" i="71" s="1"/>
  <c r="Q75" i="71"/>
  <c r="P75" i="71"/>
  <c r="O75" i="71"/>
  <c r="N75" i="71"/>
  <c r="B75" i="71"/>
  <c r="B74" i="71" s="1"/>
  <c r="Q74" i="71"/>
  <c r="P74" i="71"/>
  <c r="O74" i="71"/>
  <c r="N74" i="71"/>
  <c r="Q73" i="71"/>
  <c r="P73" i="71"/>
  <c r="O73" i="71"/>
  <c r="N73" i="71"/>
  <c r="D73" i="71"/>
  <c r="Q72" i="71"/>
  <c r="P72" i="71"/>
  <c r="O72" i="71"/>
  <c r="N72" i="71"/>
  <c r="F72" i="71"/>
  <c r="F71" i="71" s="1"/>
  <c r="V72" i="71"/>
  <c r="E72" i="71"/>
  <c r="U72" i="71" s="1"/>
  <c r="C72" i="71"/>
  <c r="B72" i="71"/>
  <c r="B71" i="71" s="1"/>
  <c r="B70" i="71" s="1"/>
  <c r="S72" i="71"/>
  <c r="Q71" i="71"/>
  <c r="P71" i="71"/>
  <c r="O71" i="71"/>
  <c r="N71" i="71"/>
  <c r="F70" i="71"/>
  <c r="Q70" i="71"/>
  <c r="P70" i="71"/>
  <c r="O70" i="71"/>
  <c r="N70" i="71"/>
  <c r="Q69" i="71"/>
  <c r="P69" i="71"/>
  <c r="O69" i="71"/>
  <c r="N69" i="71"/>
  <c r="D69" i="71"/>
  <c r="F68" i="71"/>
  <c r="V68" i="71" s="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c r="F55" i="71"/>
  <c r="F56" i="7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c r="F44" i="71"/>
  <c r="V44" i="71" s="1"/>
  <c r="P41" i="71"/>
  <c r="E42" i="71"/>
  <c r="E43" i="71"/>
  <c r="E44" i="71" s="1"/>
  <c r="U44" i="71" s="1"/>
  <c r="O41" i="71"/>
  <c r="C42" i="71"/>
  <c r="N41" i="71"/>
  <c r="B42" i="71" s="1"/>
  <c r="B43" i="71" s="1"/>
  <c r="B44" i="71" s="1"/>
  <c r="S44" i="71" s="1"/>
  <c r="D41" i="71"/>
  <c r="Q40" i="71"/>
  <c r="P40" i="71"/>
  <c r="O40" i="71"/>
  <c r="N40" i="71"/>
  <c r="Q39" i="71"/>
  <c r="AB39" i="71" s="1"/>
  <c r="P39" i="71"/>
  <c r="AA39" i="71" s="1"/>
  <c r="O39" i="71"/>
  <c r="Y39" i="71" s="1"/>
  <c r="Z39" i="71" s="1"/>
  <c r="N39" i="71"/>
  <c r="X39" i="71"/>
  <c r="Q38" i="71"/>
  <c r="P38" i="71"/>
  <c r="O38" i="71"/>
  <c r="N38" i="71"/>
  <c r="X38" i="71" s="1"/>
  <c r="Q37" i="71"/>
  <c r="F38" i="71" s="1"/>
  <c r="P37" i="71"/>
  <c r="O37" i="71"/>
  <c r="C38" i="71" s="1"/>
  <c r="N37" i="71"/>
  <c r="X37" i="71" s="1"/>
  <c r="D37" i="71"/>
  <c r="Q36" i="71"/>
  <c r="P36" i="71"/>
  <c r="O36" i="71"/>
  <c r="N36" i="71"/>
  <c r="Q35" i="71"/>
  <c r="AB35" i="71"/>
  <c r="P35" i="71"/>
  <c r="AA33" i="71" s="1"/>
  <c r="O35" i="71"/>
  <c r="N35" i="71"/>
  <c r="Q34" i="71"/>
  <c r="P34" i="71"/>
  <c r="O34" i="71"/>
  <c r="N34" i="71"/>
  <c r="Q33" i="71"/>
  <c r="F34" i="71" s="1"/>
  <c r="P33" i="71"/>
  <c r="E34" i="71" s="1"/>
  <c r="O33" i="71"/>
  <c r="Y31" i="71" s="1"/>
  <c r="Z31" i="71" s="1"/>
  <c r="N33" i="71"/>
  <c r="D33" i="71"/>
  <c r="Q32" i="71"/>
  <c r="P32" i="71"/>
  <c r="AA32" i="71" s="1"/>
  <c r="O32" i="71"/>
  <c r="N32" i="71"/>
  <c r="Q31" i="71"/>
  <c r="AB31" i="71"/>
  <c r="P31" i="71"/>
  <c r="O31" i="71"/>
  <c r="N31" i="71"/>
  <c r="Q30" i="71"/>
  <c r="P30" i="71"/>
  <c r="E31" i="71" s="1"/>
  <c r="E32" i="71" s="1"/>
  <c r="U32" i="71" s="1"/>
  <c r="O30" i="71"/>
  <c r="N30" i="71"/>
  <c r="Q29" i="71"/>
  <c r="F30" i="71"/>
  <c r="P29" i="71"/>
  <c r="E30" i="71"/>
  <c r="O29" i="71"/>
  <c r="C30" i="71" s="1"/>
  <c r="D30" i="71" s="1"/>
  <c r="N29" i="71"/>
  <c r="D29" i="71"/>
  <c r="O28" i="71"/>
  <c r="N28" i="71"/>
  <c r="X26" i="71" s="1"/>
  <c r="B30" i="71"/>
  <c r="B31" i="71"/>
  <c r="B32" i="71" s="1"/>
  <c r="S32" i="71"/>
  <c r="B34" i="71"/>
  <c r="B35" i="71" s="1"/>
  <c r="B36" i="71" s="1"/>
  <c r="S36" i="71" s="1"/>
  <c r="B38" i="71"/>
  <c r="B39" i="71" s="1"/>
  <c r="B40" i="71" s="1"/>
  <c r="S40" i="71" s="1"/>
  <c r="AA37" i="71"/>
  <c r="E35" i="71"/>
  <c r="E36" i="71" s="1"/>
  <c r="U36" i="71" s="1"/>
  <c r="AB29" i="71"/>
  <c r="X35" i="71"/>
  <c r="P28" i="71"/>
  <c r="AA28" i="71" s="1"/>
  <c r="E63" i="71"/>
  <c r="E64" i="71" s="1"/>
  <c r="U64" i="71" s="1"/>
  <c r="U68" i="71"/>
  <c r="E67" i="71"/>
  <c r="E66" i="71" s="1"/>
  <c r="Q28" i="71"/>
  <c r="C67" i="71"/>
  <c r="C66" i="71" s="1"/>
  <c r="Q68" i="71"/>
  <c r="C75" i="71"/>
  <c r="C74" i="71" s="1"/>
  <c r="D74" i="71" s="1"/>
  <c r="D76" i="71"/>
  <c r="C83" i="71"/>
  <c r="C82" i="71" s="1"/>
  <c r="D82" i="71" s="1"/>
  <c r="C87" i="71"/>
  <c r="C86" i="71" s="1"/>
  <c r="D86" i="71" s="1"/>
  <c r="O6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94" i="40" s="1"/>
  <c r="G94" i="40" s="1"/>
  <c r="F25" i="40"/>
  <c r="S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c r="F83" i="33" s="1"/>
  <c r="G83" i="33" s="1"/>
  <c r="C21" i="33"/>
  <c r="C21" i="21"/>
  <c r="Q21" i="21"/>
  <c r="Z21" i="21"/>
  <c r="D83" i="21"/>
  <c r="E83" i="21" s="1"/>
  <c r="F21" i="21"/>
  <c r="AA21" i="21"/>
  <c r="D81" i="21"/>
  <c r="H19" i="21" s="1"/>
  <c r="U19" i="21" s="1"/>
  <c r="G20" i="20"/>
  <c r="C22" i="20"/>
  <c r="B57" i="43"/>
  <c r="S21" i="34"/>
  <c r="H25" i="40"/>
  <c r="U25" i="40" s="1"/>
  <c r="J25" i="40"/>
  <c r="AC25" i="40" s="1"/>
  <c r="H29" i="39"/>
  <c r="AB29" i="39" s="1"/>
  <c r="J29" i="39"/>
  <c r="AC29" i="39" s="1"/>
  <c r="J18" i="36"/>
  <c r="W18" i="36" s="1"/>
  <c r="H18" i="35"/>
  <c r="AB18" i="35"/>
  <c r="J18" i="35"/>
  <c r="W18" i="35" s="1"/>
  <c r="H21" i="37"/>
  <c r="F21" i="37"/>
  <c r="AA21" i="37" s="1"/>
  <c r="H21" i="34"/>
  <c r="H21" i="33"/>
  <c r="AB21" i="33" s="1"/>
  <c r="F21" i="33"/>
  <c r="H1" i="69"/>
  <c r="W25" i="40"/>
  <c r="AB25" i="40"/>
  <c r="U29" i="39"/>
  <c r="AB21" i="37"/>
  <c r="U21" i="37"/>
  <c r="U21" i="33"/>
  <c r="AC18" i="35"/>
  <c r="J21" i="37"/>
  <c r="W21" i="37" s="1"/>
  <c r="J21" i="34"/>
  <c r="J21" i="33"/>
  <c r="W21" i="33" s="1"/>
  <c r="F83" i="21"/>
  <c r="G83" i="21" s="1"/>
  <c r="H21" i="21"/>
  <c r="U21" i="21"/>
  <c r="F38" i="69"/>
  <c r="E37" i="69"/>
  <c r="F36" i="69"/>
  <c r="F35" i="69"/>
  <c r="F21" i="69"/>
  <c r="F40" i="69"/>
  <c r="F20" i="69"/>
  <c r="F39" i="69"/>
  <c r="E10" i="69"/>
  <c r="E9" i="69"/>
  <c r="AC21" i="33"/>
  <c r="J21" i="21"/>
  <c r="W21" i="21" s="1"/>
  <c r="C40" i="69"/>
  <c r="F38" i="68"/>
  <c r="E37" i="68"/>
  <c r="F36" i="68"/>
  <c r="F35" i="68"/>
  <c r="F21" i="68"/>
  <c r="F40" i="68"/>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E15" i="4"/>
  <c r="F8" i="1"/>
  <c r="G8" i="1" s="1"/>
  <c r="A7" i="1"/>
  <c r="B7" i="1" s="1"/>
  <c r="E7" i="1" s="1"/>
  <c r="A8" i="1"/>
  <c r="B8" i="1"/>
  <c r="E8" i="1" s="1"/>
  <c r="A9" i="1"/>
  <c r="A10" i="1"/>
  <c r="A11" i="1"/>
  <c r="B11" i="1" s="1"/>
  <c r="E11" i="1" s="1"/>
  <c r="A12" i="1"/>
  <c r="A13" i="1"/>
  <c r="B13" i="1" s="1"/>
  <c r="E13" i="1" s="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AZ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H60" i="40"/>
  <c r="I60" i="40" s="1"/>
  <c r="C60" i="40" s="1"/>
  <c r="H59" i="40"/>
  <c r="I59" i="40"/>
  <c r="C59" i="40" s="1"/>
  <c r="H58" i="40"/>
  <c r="I58" i="40" s="1"/>
  <c r="C58" i="40" s="1"/>
  <c r="H57" i="40"/>
  <c r="I57" i="40"/>
  <c r="C57" i="40" s="1"/>
  <c r="H56" i="40"/>
  <c r="I56" i="40" s="1"/>
  <c r="C56" i="40"/>
  <c r="H54" i="40"/>
  <c r="I54" i="40" s="1"/>
  <c r="C54" i="40" s="1"/>
  <c r="H53" i="40"/>
  <c r="I53" i="40"/>
  <c r="C53" i="40" s="1"/>
  <c r="H52" i="40"/>
  <c r="I52" i="40"/>
  <c r="C52" i="40"/>
  <c r="H64" i="39"/>
  <c r="I64" i="39" s="1"/>
  <c r="C64" i="39" s="1"/>
  <c r="H63" i="39"/>
  <c r="I63" i="39"/>
  <c r="C63" i="39" s="1"/>
  <c r="H59" i="39"/>
  <c r="I59" i="39" s="1"/>
  <c r="C59" i="39" s="1"/>
  <c r="H58" i="39"/>
  <c r="I58" i="39"/>
  <c r="C58" i="39" s="1"/>
  <c r="H57" i="39"/>
  <c r="I57" i="39" s="1"/>
  <c r="C57" i="39"/>
  <c r="H60" i="39"/>
  <c r="I60" i="39" s="1"/>
  <c r="C60" i="39" s="1"/>
  <c r="H62" i="39"/>
  <c r="I62" i="39"/>
  <c r="C62" i="39" s="1"/>
  <c r="H61" i="39"/>
  <c r="I61" i="39"/>
  <c r="C61" i="39"/>
  <c r="C145" i="21"/>
  <c r="K139" i="21" s="1"/>
  <c r="J142" i="21"/>
  <c r="J140" i="21"/>
  <c r="K144" i="21" s="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H15" i="4"/>
  <c r="F9" i="1"/>
  <c r="G9" i="1" s="1"/>
  <c r="G15" i="4"/>
  <c r="F12" i="1"/>
  <c r="G12" i="1" s="1"/>
  <c r="F15" i="4"/>
  <c r="F11" i="1"/>
  <c r="G11" i="1" s="1"/>
  <c r="D15" i="4"/>
  <c r="F7" i="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N14" i="81" s="1"/>
  <c r="K6" i="1"/>
  <c r="AP6" i="1" s="1"/>
  <c r="E20" i="6"/>
  <c r="E21" i="6"/>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D5" i="3" s="1"/>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A542" i="3" s="1"/>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F5" i="3" s="1"/>
  <c r="BG578" i="3"/>
  <c r="BH578" i="3"/>
  <c r="BI578" i="3"/>
  <c r="BJ578" i="3"/>
  <c r="BK578" i="3"/>
  <c r="BM578" i="3"/>
  <c r="BN578" i="3"/>
  <c r="BO578" i="3"/>
  <c r="BO5" i="3" s="1"/>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F31" i="35"/>
  <c r="D87" i="35"/>
  <c r="E87" i="35"/>
  <c r="F87" i="35" s="1"/>
  <c r="G87" i="35" s="1"/>
  <c r="H87" i="35" s="1"/>
  <c r="I87" i="35" s="1"/>
  <c r="J87" i="35" s="1"/>
  <c r="K87" i="35" s="1"/>
  <c r="L87" i="35" s="1"/>
  <c r="M87" i="35"/>
  <c r="H34" i="37"/>
  <c r="D101" i="37"/>
  <c r="F34" i="37"/>
  <c r="AA34" i="37"/>
  <c r="D99" i="37"/>
  <c r="E99" i="37"/>
  <c r="F99" i="37"/>
  <c r="G99" i="37"/>
  <c r="H99" i="37" s="1"/>
  <c r="I99" i="37" s="1"/>
  <c r="J99" i="37" s="1"/>
  <c r="K99" i="37" s="1"/>
  <c r="L99" i="37" s="1"/>
  <c r="M99" i="37" s="1"/>
  <c r="H42" i="34"/>
  <c r="J42" i="34"/>
  <c r="W42" i="34" s="1"/>
  <c r="F42" i="34"/>
  <c r="AA42" i="34"/>
  <c r="J38" i="34"/>
  <c r="W38" i="34" s="1"/>
  <c r="D114" i="34"/>
  <c r="F38" i="34"/>
  <c r="S38" i="34" s="1"/>
  <c r="D112" i="34"/>
  <c r="E112" i="34"/>
  <c r="F112" i="34"/>
  <c r="G112" i="34" s="1"/>
  <c r="H112" i="34" s="1"/>
  <c r="I112" i="34" s="1"/>
  <c r="J112" i="34" s="1"/>
  <c r="K112" i="34"/>
  <c r="L112" i="34" s="1"/>
  <c r="M112" i="34" s="1"/>
  <c r="F40" i="33"/>
  <c r="AA40" i="33" s="1"/>
  <c r="J41" i="33"/>
  <c r="W41" i="33"/>
  <c r="D113" i="33"/>
  <c r="E113" i="33" s="1"/>
  <c r="F113" i="33" s="1"/>
  <c r="G113" i="33" s="1"/>
  <c r="H113" i="33" s="1"/>
  <c r="F37" i="33"/>
  <c r="S37" i="33" s="1"/>
  <c r="D111" i="33"/>
  <c r="E111" i="33"/>
  <c r="F111" i="33"/>
  <c r="S515" i="31"/>
  <c r="S516" i="31"/>
  <c r="S517" i="31"/>
  <c r="S518" i="31"/>
  <c r="S519" i="31"/>
  <c r="S520" i="31"/>
  <c r="S521" i="31"/>
  <c r="S522" i="31"/>
  <c r="S523" i="31"/>
  <c r="S524" i="31"/>
  <c r="F41" i="21"/>
  <c r="AA41" i="21" s="1"/>
  <c r="J41" i="21"/>
  <c r="H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J40" i="40" s="1"/>
  <c r="W40" i="40" s="1"/>
  <c r="B118" i="40"/>
  <c r="B116" i="40"/>
  <c r="D115" i="40"/>
  <c r="E115" i="40"/>
  <c r="F115" i="40" s="1"/>
  <c r="G115" i="40" s="1"/>
  <c r="H115" i="40" s="1"/>
  <c r="I115" i="40" s="1"/>
  <c r="J115" i="40"/>
  <c r="K115" i="40" s="1"/>
  <c r="L115" i="40" s="1"/>
  <c r="M115" i="40" s="1"/>
  <c r="D113" i="40"/>
  <c r="E113" i="40" s="1"/>
  <c r="F113" i="40" s="1"/>
  <c r="G113" i="40"/>
  <c r="H113" i="40"/>
  <c r="I113" i="40" s="1"/>
  <c r="J113" i="40" s="1"/>
  <c r="K113" i="40" s="1"/>
  <c r="L113" i="40" s="1"/>
  <c r="M113" i="40" s="1"/>
  <c r="D111" i="40"/>
  <c r="E111" i="40"/>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c r="F86" i="40"/>
  <c r="G86" i="40"/>
  <c r="D84" i="40"/>
  <c r="E84" i="40"/>
  <c r="F84" i="40"/>
  <c r="G84" i="40"/>
  <c r="B81" i="40"/>
  <c r="B79" i="40"/>
  <c r="B77" i="40"/>
  <c r="H12" i="40"/>
  <c r="M74" i="40"/>
  <c r="L74" i="40"/>
  <c r="K74" i="40"/>
  <c r="J74" i="40"/>
  <c r="I74" i="40"/>
  <c r="H74" i="40"/>
  <c r="G74" i="40"/>
  <c r="F74" i="40"/>
  <c r="E74" i="40"/>
  <c r="D74" i="40"/>
  <c r="C74" i="40"/>
  <c r="P43" i="40"/>
  <c r="P42" i="40"/>
  <c r="V41" i="40"/>
  <c r="T41" i="40"/>
  <c r="R41" i="40"/>
  <c r="P41" i="40"/>
  <c r="Q40" i="40"/>
  <c r="Z40" i="40"/>
  <c r="H40" i="40"/>
  <c r="F40" i="40"/>
  <c r="Q39" i="40"/>
  <c r="Z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J8" i="40"/>
  <c r="H8" i="40"/>
  <c r="AB8" i="40"/>
  <c r="F8" i="40"/>
  <c r="AA8" i="40" s="1"/>
  <c r="J38" i="39"/>
  <c r="H38" i="39"/>
  <c r="AB38" i="39"/>
  <c r="F38" i="39"/>
  <c r="AA38" i="39"/>
  <c r="D123" i="39"/>
  <c r="E123" i="39"/>
  <c r="F123" i="39" s="1"/>
  <c r="G123" i="39" s="1"/>
  <c r="H123" i="39" s="1"/>
  <c r="I123" i="39" s="1"/>
  <c r="J123" i="39" s="1"/>
  <c r="K123" i="39" s="1"/>
  <c r="L123" i="39" s="1"/>
  <c r="M123" i="39"/>
  <c r="D119" i="39"/>
  <c r="E119" i="39"/>
  <c r="F119" i="39"/>
  <c r="G119" i="39"/>
  <c r="H119" i="39" s="1"/>
  <c r="I119" i="39" s="1"/>
  <c r="J119" i="39" s="1"/>
  <c r="K119" i="39" s="1"/>
  <c r="L119" i="39" s="1"/>
  <c r="M119" i="39" s="1"/>
  <c r="B113" i="39"/>
  <c r="J37" i="39"/>
  <c r="D108" i="39"/>
  <c r="E108" i="39"/>
  <c r="F34" i="39"/>
  <c r="AA34" i="39"/>
  <c r="D106" i="39"/>
  <c r="E106" i="39"/>
  <c r="D104" i="39"/>
  <c r="E104" i="39"/>
  <c r="F104" i="39" s="1"/>
  <c r="G104" i="39" s="1"/>
  <c r="H104" i="39" s="1"/>
  <c r="I104" i="39" s="1"/>
  <c r="J104" i="39" s="1"/>
  <c r="K104" i="39" s="1"/>
  <c r="L104" i="39" s="1"/>
  <c r="M104" i="39"/>
  <c r="D100" i="39"/>
  <c r="D98" i="39"/>
  <c r="E98" i="39"/>
  <c r="F98" i="39"/>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B126" i="39"/>
  <c r="J43" i="39"/>
  <c r="D125" i="39"/>
  <c r="E125" i="39" s="1"/>
  <c r="F125" i="39" s="1"/>
  <c r="G125" i="39" s="1"/>
  <c r="H125" i="39" s="1"/>
  <c r="I125" i="39" s="1"/>
  <c r="J125" i="39" s="1"/>
  <c r="K125" i="39" s="1"/>
  <c r="L125" i="39" s="1"/>
  <c r="M125" i="39" s="1"/>
  <c r="D121" i="39"/>
  <c r="E121" i="39"/>
  <c r="F121" i="39"/>
  <c r="G121" i="39" s="1"/>
  <c r="H121" i="39" s="1"/>
  <c r="I121" i="39" s="1"/>
  <c r="J121" i="39" s="1"/>
  <c r="K121" i="39" s="1"/>
  <c r="L121" i="39" s="1"/>
  <c r="M121" i="39" s="1"/>
  <c r="H35" i="39"/>
  <c r="AB35" i="39" s="1"/>
  <c r="B103" i="39"/>
  <c r="D96" i="39"/>
  <c r="J23" i="39"/>
  <c r="D94" i="39"/>
  <c r="E94" i="39" s="1"/>
  <c r="F94" i="39" s="1"/>
  <c r="G94" i="39"/>
  <c r="D92" i="39"/>
  <c r="E92" i="39" s="1"/>
  <c r="F92" i="39" s="1"/>
  <c r="G92" i="39" s="1"/>
  <c r="D90" i="39"/>
  <c r="E90" i="39" s="1"/>
  <c r="F90" i="39" s="1"/>
  <c r="G90" i="39"/>
  <c r="D88" i="39"/>
  <c r="E88" i="39" s="1"/>
  <c r="F88" i="39" s="1"/>
  <c r="G88" i="39" s="1"/>
  <c r="B85" i="39"/>
  <c r="B83" i="39"/>
  <c r="J13" i="39"/>
  <c r="W13" i="39"/>
  <c r="B81" i="39"/>
  <c r="J12" i="39" s="1"/>
  <c r="M78" i="39"/>
  <c r="L78" i="39"/>
  <c r="K78" i="39"/>
  <c r="J78" i="39"/>
  <c r="I78" i="39"/>
  <c r="H78" i="39"/>
  <c r="G78" i="39"/>
  <c r="F78" i="39"/>
  <c r="E78" i="39"/>
  <c r="D78" i="39"/>
  <c r="C78" i="39"/>
  <c r="P48" i="39"/>
  <c r="P47" i="39"/>
  <c r="V46" i="39"/>
  <c r="T46" i="39"/>
  <c r="R46" i="39"/>
  <c r="P46" i="39"/>
  <c r="J40" i="39"/>
  <c r="F40" i="39"/>
  <c r="AA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H8" i="39"/>
  <c r="F8" i="39"/>
  <c r="AA8" i="39" s="1"/>
  <c r="C20" i="36"/>
  <c r="C20" i="35"/>
  <c r="C16" i="36"/>
  <c r="C16" i="35"/>
  <c r="C14" i="36"/>
  <c r="C14" i="35"/>
  <c r="B80" i="37"/>
  <c r="B110" i="37"/>
  <c r="J39" i="37"/>
  <c r="AC39" i="37"/>
  <c r="B108" i="37"/>
  <c r="C23" i="37"/>
  <c r="C19" i="37"/>
  <c r="C17" i="37"/>
  <c r="C15" i="37"/>
  <c r="B112" i="37"/>
  <c r="D107" i="37"/>
  <c r="E107" i="37"/>
  <c r="F107" i="37" s="1"/>
  <c r="G107" i="37" s="1"/>
  <c r="D105" i="37"/>
  <c r="E105" i="37"/>
  <c r="F105" i="37"/>
  <c r="D103" i="37"/>
  <c r="E103" i="37"/>
  <c r="F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s="1"/>
  <c r="F73" i="37" s="1"/>
  <c r="G73" i="37"/>
  <c r="D71" i="37"/>
  <c r="E71" i="37" s="1"/>
  <c r="F71" i="37" s="1"/>
  <c r="H15" i="37"/>
  <c r="AB15" i="37"/>
  <c r="B68" i="37"/>
  <c r="H14" i="37"/>
  <c r="B66" i="37"/>
  <c r="H13" i="37"/>
  <c r="AB13" i="37" s="1"/>
  <c r="B64" i="37"/>
  <c r="H12" i="37"/>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AC31" i="36"/>
  <c r="H31" i="36"/>
  <c r="F31" i="36"/>
  <c r="S31" i="36" s="1"/>
  <c r="M86" i="36"/>
  <c r="L86" i="36"/>
  <c r="K86" i="36"/>
  <c r="J86" i="36"/>
  <c r="I86" i="36"/>
  <c r="H86" i="36"/>
  <c r="G86" i="36"/>
  <c r="F86" i="36"/>
  <c r="E86" i="36"/>
  <c r="D86" i="36"/>
  <c r="C86" i="36"/>
  <c r="D85" i="36"/>
  <c r="E85" i="36"/>
  <c r="F85" i="36"/>
  <c r="H29" i="36"/>
  <c r="D81" i="36"/>
  <c r="E81" i="36"/>
  <c r="F81" i="36"/>
  <c r="G81" i="36"/>
  <c r="H81" i="36" s="1"/>
  <c r="I81" i="36" s="1"/>
  <c r="J81" i="36" s="1"/>
  <c r="K81" i="36" s="1"/>
  <c r="L81" i="36" s="1"/>
  <c r="M81" i="36" s="1"/>
  <c r="F79" i="36"/>
  <c r="E79" i="36"/>
  <c r="D79" i="36"/>
  <c r="C79" i="36"/>
  <c r="B93" i="36"/>
  <c r="H33" i="36"/>
  <c r="AB33" i="36" s="1"/>
  <c r="B91" i="36"/>
  <c r="F32" i="36"/>
  <c r="AA32" i="36"/>
  <c r="B95" i="36"/>
  <c r="H34" i="36"/>
  <c r="AB34" i="36"/>
  <c r="D83" i="36"/>
  <c r="E83" i="36" s="1"/>
  <c r="F83" i="36" s="1"/>
  <c r="G83" i="36"/>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c r="F64" i="36"/>
  <c r="G64" i="36" s="1"/>
  <c r="J16" i="36"/>
  <c r="W16" i="36"/>
  <c r="D62" i="36"/>
  <c r="E62" i="36" s="1"/>
  <c r="F62" i="36" s="1"/>
  <c r="G62" i="36"/>
  <c r="B59" i="36"/>
  <c r="B57" i="36"/>
  <c r="B55" i="36"/>
  <c r="H11" i="36"/>
  <c r="U11" i="36" s="1"/>
  <c r="C51" i="36"/>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c r="Q25" i="36"/>
  <c r="Z25" i="36" s="1"/>
  <c r="Q24" i="36"/>
  <c r="Z24" i="36"/>
  <c r="Q23" i="36"/>
  <c r="Z23" i="36" s="1"/>
  <c r="H23" i="36"/>
  <c r="AB23" i="36"/>
  <c r="Q22" i="36"/>
  <c r="Z22" i="36" s="1"/>
  <c r="J22" i="36"/>
  <c r="AC22" i="36"/>
  <c r="Q20" i="36"/>
  <c r="Z20" i="36" s="1"/>
  <c r="Q16" i="36"/>
  <c r="Z16" i="36"/>
  <c r="Q14" i="36"/>
  <c r="Z14" i="36" s="1"/>
  <c r="Q13" i="36"/>
  <c r="Z13" i="36"/>
  <c r="Q12" i="36"/>
  <c r="Z12" i="36" s="1"/>
  <c r="Q11" i="36"/>
  <c r="Z11" i="36"/>
  <c r="Q10" i="36"/>
  <c r="Z10" i="36" s="1"/>
  <c r="F10" i="36"/>
  <c r="AA10" i="36"/>
  <c r="Q9" i="36"/>
  <c r="Z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J22" i="35"/>
  <c r="AC22" i="35"/>
  <c r="B101" i="35"/>
  <c r="B99" i="35"/>
  <c r="B97" i="35"/>
  <c r="H34" i="35"/>
  <c r="B77" i="35"/>
  <c r="B75" i="35"/>
  <c r="J24" i="35"/>
  <c r="B73" i="35"/>
  <c r="J23" i="35" s="1"/>
  <c r="B57" i="35"/>
  <c r="B61" i="35"/>
  <c r="B59" i="35"/>
  <c r="B131" i="34"/>
  <c r="J47" i="34" s="1"/>
  <c r="B129" i="34"/>
  <c r="B127" i="34"/>
  <c r="B99" i="34"/>
  <c r="B97" i="34"/>
  <c r="J31" i="34" s="1"/>
  <c r="B95" i="34"/>
  <c r="B93" i="34"/>
  <c r="B75" i="34"/>
  <c r="B73" i="34"/>
  <c r="J13" i="34" s="1"/>
  <c r="B71" i="34"/>
  <c r="F12" i="34" s="1"/>
  <c r="AA12" i="34" s="1"/>
  <c r="B130" i="33"/>
  <c r="B128" i="33"/>
  <c r="B126" i="33"/>
  <c r="H44" i="33" s="1"/>
  <c r="AB44" i="33" s="1"/>
  <c r="B98" i="33"/>
  <c r="B96" i="33"/>
  <c r="B94" i="33"/>
  <c r="B74" i="33"/>
  <c r="B72" i="33"/>
  <c r="B70" i="33"/>
  <c r="D96" i="35"/>
  <c r="E96" i="35" s="1"/>
  <c r="F96" i="35" s="1"/>
  <c r="G96" i="35" s="1"/>
  <c r="D94" i="35"/>
  <c r="E94" i="35"/>
  <c r="F94" i="35" s="1"/>
  <c r="G94" i="35" s="1"/>
  <c r="H94" i="35"/>
  <c r="I94" i="35" s="1"/>
  <c r="J94" i="35" s="1"/>
  <c r="K94" i="35" s="1"/>
  <c r="L94" i="35" s="1"/>
  <c r="M94" i="35" s="1"/>
  <c r="D84" i="35"/>
  <c r="E84" i="35"/>
  <c r="F84" i="35"/>
  <c r="G84" i="35"/>
  <c r="H84" i="35" s="1"/>
  <c r="I84" i="35" s="1"/>
  <c r="J84" i="35"/>
  <c r="K84" i="35" s="1"/>
  <c r="L84" i="35" s="1"/>
  <c r="M84" i="35" s="1"/>
  <c r="D80" i="35"/>
  <c r="E80" i="35"/>
  <c r="F80" i="35" s="1"/>
  <c r="G80" i="35" s="1"/>
  <c r="H80" i="35"/>
  <c r="I80" i="35" s="1"/>
  <c r="J80" i="35" s="1"/>
  <c r="K80" i="35" s="1"/>
  <c r="L80" i="35" s="1"/>
  <c r="M80" i="35" s="1"/>
  <c r="D72" i="35"/>
  <c r="E72" i="35"/>
  <c r="F72" i="35"/>
  <c r="G72" i="35"/>
  <c r="D70" i="35"/>
  <c r="E70" i="35"/>
  <c r="F70" i="35"/>
  <c r="G70" i="35"/>
  <c r="D66" i="35"/>
  <c r="E66" i="35"/>
  <c r="F66" i="35"/>
  <c r="G66" i="35"/>
  <c r="D64" i="35"/>
  <c r="E64" i="35"/>
  <c r="F64" i="35"/>
  <c r="G64" i="35"/>
  <c r="J14" i="35"/>
  <c r="C53" i="35"/>
  <c r="J9" i="35"/>
  <c r="P39" i="35"/>
  <c r="P38" i="35"/>
  <c r="V37" i="35"/>
  <c r="T37" i="35"/>
  <c r="R37" i="35"/>
  <c r="P37" i="35"/>
  <c r="Q36" i="35"/>
  <c r="Z36" i="35"/>
  <c r="Q35" i="35"/>
  <c r="Z35" i="35"/>
  <c r="Q34" i="35"/>
  <c r="Z34" i="35" s="1"/>
  <c r="F34" i="35"/>
  <c r="Q33" i="35"/>
  <c r="Z33" i="35" s="1"/>
  <c r="Q32" i="35"/>
  <c r="Z32" i="35" s="1"/>
  <c r="H32" i="35"/>
  <c r="AB32" i="35"/>
  <c r="F32" i="35"/>
  <c r="Q31" i="35"/>
  <c r="Z31" i="35"/>
  <c r="AC31" i="35"/>
  <c r="AA31" i="35"/>
  <c r="Q30" i="35"/>
  <c r="Z30" i="35"/>
  <c r="Q29" i="35"/>
  <c r="Z29" i="35" s="1"/>
  <c r="Q28" i="35"/>
  <c r="Z28" i="35"/>
  <c r="J28" i="35"/>
  <c r="AC28" i="35" s="1"/>
  <c r="H28" i="35"/>
  <c r="F28" i="35"/>
  <c r="Q27" i="35"/>
  <c r="Z27" i="35" s="1"/>
  <c r="Q26" i="35"/>
  <c r="Z26" i="35"/>
  <c r="Q25" i="35"/>
  <c r="Z25" i="35" s="1"/>
  <c r="Q24" i="35"/>
  <c r="Z24" i="35"/>
  <c r="Q23" i="35"/>
  <c r="Z23" i="35" s="1"/>
  <c r="Q22" i="35"/>
  <c r="Z22" i="35"/>
  <c r="Q20" i="35"/>
  <c r="Z20" i="35" s="1"/>
  <c r="Q16" i="35"/>
  <c r="Z16" i="35"/>
  <c r="Q14" i="35"/>
  <c r="Z14" i="35" s="1"/>
  <c r="Q13" i="35"/>
  <c r="Z13" i="35"/>
  <c r="Q12" i="35"/>
  <c r="Z12" i="35" s="1"/>
  <c r="J12" i="35"/>
  <c r="H12" i="35"/>
  <c r="F12" i="35"/>
  <c r="Q11" i="35"/>
  <c r="Z11" i="35" s="1"/>
  <c r="Q10" i="35"/>
  <c r="Z10" i="35"/>
  <c r="Q9" i="35"/>
  <c r="Z9" i="35" s="1"/>
  <c r="J8" i="35"/>
  <c r="W8" i="35" s="1"/>
  <c r="H8" i="35"/>
  <c r="AB8" i="35" s="1"/>
  <c r="F8" i="35"/>
  <c r="AA8" i="35" s="1"/>
  <c r="D120" i="34"/>
  <c r="E120" i="34" s="1"/>
  <c r="F120" i="34"/>
  <c r="G120" i="34"/>
  <c r="H120" i="34" s="1"/>
  <c r="I120" i="34" s="1"/>
  <c r="J120" i="34" s="1"/>
  <c r="K120" i="34" s="1"/>
  <c r="L120" i="34" s="1"/>
  <c r="M120" i="34" s="1"/>
  <c r="D90" i="34"/>
  <c r="E90" i="34"/>
  <c r="F90" i="34" s="1"/>
  <c r="G90" i="34" s="1"/>
  <c r="H90" i="34" s="1"/>
  <c r="I90" i="34" s="1"/>
  <c r="J90" i="34" s="1"/>
  <c r="K90" i="34" s="1"/>
  <c r="L90" i="34" s="1"/>
  <c r="M90" i="34"/>
  <c r="C15" i="34"/>
  <c r="D126" i="34"/>
  <c r="E126" i="34"/>
  <c r="F126" i="34"/>
  <c r="G126" i="34" s="1"/>
  <c r="D124" i="34"/>
  <c r="E124" i="34"/>
  <c r="F124" i="34"/>
  <c r="G124" i="34" s="1"/>
  <c r="H124" i="34" s="1"/>
  <c r="I124" i="34"/>
  <c r="J124" i="34" s="1"/>
  <c r="K124" i="34" s="1"/>
  <c r="L124" i="34" s="1"/>
  <c r="M124" i="34" s="1"/>
  <c r="H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c r="L92" i="34" s="1"/>
  <c r="M92" i="34" s="1"/>
  <c r="B91" i="34"/>
  <c r="B89" i="34"/>
  <c r="D88" i="34"/>
  <c r="E88" i="34"/>
  <c r="F88" i="34" s="1"/>
  <c r="G88" i="34" s="1"/>
  <c r="H88" i="34" s="1"/>
  <c r="I88" i="34"/>
  <c r="J88" i="34" s="1"/>
  <c r="K88" i="34" s="1"/>
  <c r="L88" i="34" s="1"/>
  <c r="M88" i="34" s="1"/>
  <c r="D86" i="34"/>
  <c r="E86" i="34" s="1"/>
  <c r="F86" i="34" s="1"/>
  <c r="G86" i="34" s="1"/>
  <c r="D82" i="34"/>
  <c r="E82" i="34"/>
  <c r="F82" i="34" s="1"/>
  <c r="G82" i="34" s="1"/>
  <c r="D80" i="34"/>
  <c r="E80" i="34"/>
  <c r="F80" i="34" s="1"/>
  <c r="G80" i="34"/>
  <c r="D78" i="34"/>
  <c r="E78" i="34" s="1"/>
  <c r="F78" i="34" s="1"/>
  <c r="G78" i="34" s="1"/>
  <c r="D70" i="34"/>
  <c r="E70" i="34" s="1"/>
  <c r="F70" i="34" s="1"/>
  <c r="M68" i="34"/>
  <c r="L68" i="34"/>
  <c r="K68" i="34"/>
  <c r="J68" i="34"/>
  <c r="I68" i="34"/>
  <c r="H68" i="34"/>
  <c r="G68" i="34"/>
  <c r="F68" i="34"/>
  <c r="E68" i="34"/>
  <c r="D68" i="34"/>
  <c r="C68" i="34"/>
  <c r="C64" i="34"/>
  <c r="H9" i="34"/>
  <c r="AB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Q38" i="34"/>
  <c r="Z38" i="34" s="1"/>
  <c r="Q37" i="34"/>
  <c r="Z37" i="34" s="1"/>
  <c r="Q36" i="34"/>
  <c r="Z36" i="34" s="1"/>
  <c r="Q35" i="34"/>
  <c r="Z35" i="34" s="1"/>
  <c r="Q34" i="34"/>
  <c r="Z34" i="34"/>
  <c r="J34" i="34"/>
  <c r="AC34" i="34" s="1"/>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AA10" i="34" s="1"/>
  <c r="Q9" i="34"/>
  <c r="Z9" i="34"/>
  <c r="F9" i="34"/>
  <c r="AA9" i="34" s="1"/>
  <c r="J8" i="34"/>
  <c r="AC8" i="34"/>
  <c r="H8" i="34"/>
  <c r="F8" i="34"/>
  <c r="D121" i="33"/>
  <c r="E121" i="33"/>
  <c r="F121" i="33" s="1"/>
  <c r="G121" i="33" s="1"/>
  <c r="H121" i="33" s="1"/>
  <c r="I121" i="33" s="1"/>
  <c r="J121" i="33"/>
  <c r="K121" i="33" s="1"/>
  <c r="L121" i="33" s="1"/>
  <c r="M121" i="33" s="1"/>
  <c r="F109" i="33"/>
  <c r="E109" i="33"/>
  <c r="D109" i="33"/>
  <c r="C109" i="33"/>
  <c r="D91" i="33"/>
  <c r="E91" i="33" s="1"/>
  <c r="B88" i="33"/>
  <c r="F26" i="33" s="1"/>
  <c r="C23" i="33"/>
  <c r="C19" i="33"/>
  <c r="C17" i="33"/>
  <c r="C15" i="33"/>
  <c r="C15" i="21"/>
  <c r="D125" i="33"/>
  <c r="E125" i="33"/>
  <c r="F125" i="33" s="1"/>
  <c r="G125" i="33" s="1"/>
  <c r="D123" i="33"/>
  <c r="D117" i="33"/>
  <c r="E117" i="33" s="1"/>
  <c r="F117" i="33" s="1"/>
  <c r="G117" i="33" s="1"/>
  <c r="D115" i="33"/>
  <c r="E115" i="33"/>
  <c r="F115" i="33" s="1"/>
  <c r="G115" i="33" s="1"/>
  <c r="H115" i="33" s="1"/>
  <c r="I115" i="33" s="1"/>
  <c r="J115" i="33"/>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c r="G77" i="33" s="1"/>
  <c r="D69" i="33"/>
  <c r="E69" i="33" s="1"/>
  <c r="F69" i="33"/>
  <c r="G69" i="33"/>
  <c r="H69" i="33" s="1"/>
  <c r="I69" i="33" s="1"/>
  <c r="J69" i="33" s="1"/>
  <c r="K69" i="33" s="1"/>
  <c r="L69" i="33"/>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H40" i="33"/>
  <c r="AB40" i="33" s="1"/>
  <c r="Q39" i="33"/>
  <c r="Z39" i="33"/>
  <c r="J39" i="33"/>
  <c r="Q38" i="33"/>
  <c r="Z38" i="33" s="1"/>
  <c r="J38" i="33"/>
  <c r="AC38" i="33"/>
  <c r="H38" i="33"/>
  <c r="AB38" i="33" s="1"/>
  <c r="F38" i="33"/>
  <c r="Q37" i="33"/>
  <c r="Z37" i="33"/>
  <c r="Q36" i="33"/>
  <c r="Z36" i="33"/>
  <c r="Q35" i="33"/>
  <c r="Z35" i="33"/>
  <c r="H35" i="33"/>
  <c r="Q34" i="33"/>
  <c r="Z34" i="33"/>
  <c r="Q33" i="33"/>
  <c r="Z33" i="33" s="1"/>
  <c r="J33" i="33"/>
  <c r="H33" i="33"/>
  <c r="U33" i="33" s="1"/>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AC8" i="33" s="1"/>
  <c r="H8" i="33"/>
  <c r="AB8" i="33"/>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C21" i="20"/>
  <c r="B99" i="43"/>
  <c r="B76" i="43"/>
  <c r="C20" i="20"/>
  <c r="B101" i="43"/>
  <c r="B79" i="43"/>
  <c r="C18" i="20"/>
  <c r="B94" i="43" s="1"/>
  <c r="C17" i="20"/>
  <c r="B61" i="43" s="1"/>
  <c r="C16" i="20"/>
  <c r="C17" i="39"/>
  <c r="C15" i="20"/>
  <c r="E54" i="21"/>
  <c r="F54" i="21" s="1"/>
  <c r="I54" i="21"/>
  <c r="J54" i="21" s="1"/>
  <c r="G54" i="21"/>
  <c r="H54" i="21" s="1"/>
  <c r="D125" i="21"/>
  <c r="E125" i="21" s="1"/>
  <c r="F125" i="21" s="1"/>
  <c r="G125" i="21" s="1"/>
  <c r="D123" i="21"/>
  <c r="E123" i="21" s="1"/>
  <c r="F123" i="21" s="1"/>
  <c r="G123" i="21"/>
  <c r="H123" i="21" s="1"/>
  <c r="I123" i="21" s="1"/>
  <c r="J123" i="21" s="1"/>
  <c r="K123" i="21"/>
  <c r="L123" i="21" s="1"/>
  <c r="M123" i="21" s="1"/>
  <c r="D119" i="21"/>
  <c r="F40" i="21"/>
  <c r="D117" i="21"/>
  <c r="E117" i="21" s="1"/>
  <c r="F117" i="21" s="1"/>
  <c r="G117" i="21"/>
  <c r="D115" i="21"/>
  <c r="E115" i="21" s="1"/>
  <c r="F115" i="21" s="1"/>
  <c r="G115" i="2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c r="L106" i="21" s="1"/>
  <c r="M106" i="21" s="1"/>
  <c r="D101" i="21"/>
  <c r="E101" i="21"/>
  <c r="F101" i="21" s="1"/>
  <c r="G101" i="21" s="1"/>
  <c r="H101" i="21" s="1"/>
  <c r="I101" i="21" s="1"/>
  <c r="J101" i="21" s="1"/>
  <c r="K101" i="21" s="1"/>
  <c r="L101" i="21" s="1"/>
  <c r="M101" i="21" s="1"/>
  <c r="D89" i="21"/>
  <c r="E89" i="21" s="1"/>
  <c r="F89" i="21" s="1"/>
  <c r="G89" i="2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19" i="21"/>
  <c r="AA19" i="21" s="1"/>
  <c r="E81" i="21"/>
  <c r="F81" i="21"/>
  <c r="G81" i="21" s="1"/>
  <c r="D77" i="21"/>
  <c r="E77" i="21"/>
  <c r="F77" i="21"/>
  <c r="G77" i="21" s="1"/>
  <c r="B130" i="21"/>
  <c r="B128" i="21"/>
  <c r="B126" i="21"/>
  <c r="F44" i="21" s="1"/>
  <c r="B98" i="21"/>
  <c r="B96" i="21"/>
  <c r="B94" i="21"/>
  <c r="J29" i="21"/>
  <c r="B92" i="21"/>
  <c r="B90" i="21"/>
  <c r="B74" i="21"/>
  <c r="B72" i="21"/>
  <c r="H13" i="21" s="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8" i="21"/>
  <c r="U38" i="21" s="1"/>
  <c r="F38" i="21"/>
  <c r="S38" i="21"/>
  <c r="F36" i="21"/>
  <c r="S36" i="21" s="1"/>
  <c r="F39" i="21"/>
  <c r="AA39" i="21" s="1"/>
  <c r="J40" i="21"/>
  <c r="W40" i="21"/>
  <c r="H35" i="21"/>
  <c r="AB35" i="21" s="1"/>
  <c r="J8" i="21"/>
  <c r="AC8" i="21"/>
  <c r="H8" i="21"/>
  <c r="U8" i="21" s="1"/>
  <c r="H10" i="21"/>
  <c r="AB10" i="21"/>
  <c r="H39" i="21"/>
  <c r="U39" i="21" s="1"/>
  <c r="H36" i="21"/>
  <c r="U36" i="21" s="1"/>
  <c r="F35" i="21"/>
  <c r="AA35" i="21" s="1"/>
  <c r="J10" i="21"/>
  <c r="AC10" i="21"/>
  <c r="AB19" i="21"/>
  <c r="J19" i="21"/>
  <c r="W19" i="21" s="1"/>
  <c r="J26" i="21"/>
  <c r="W26" i="21"/>
  <c r="S41" i="21"/>
  <c r="F45" i="39"/>
  <c r="S45" i="39" s="1"/>
  <c r="J45" i="39"/>
  <c r="W45" i="39"/>
  <c r="J35" i="39"/>
  <c r="F35" i="39"/>
  <c r="AA35" i="39"/>
  <c r="U9" i="39"/>
  <c r="U30" i="37"/>
  <c r="G103" i="37"/>
  <c r="H103" i="37"/>
  <c r="I103" i="37"/>
  <c r="J103" i="37" s="1"/>
  <c r="K103" i="37" s="1"/>
  <c r="L103" i="37" s="1"/>
  <c r="M103" i="37"/>
  <c r="F39" i="37"/>
  <c r="S39" i="37" s="1"/>
  <c r="F29" i="36"/>
  <c r="AA29" i="36"/>
  <c r="F16" i="36"/>
  <c r="AA16" i="36" s="1"/>
  <c r="J33" i="36"/>
  <c r="AC33" i="36" s="1"/>
  <c r="H22" i="35"/>
  <c r="AB22" i="35"/>
  <c r="AC27" i="35"/>
  <c r="W28" i="35"/>
  <c r="W22" i="35"/>
  <c r="S31" i="35"/>
  <c r="F36" i="34"/>
  <c r="J35" i="34"/>
  <c r="U34" i="34"/>
  <c r="H39" i="33"/>
  <c r="AB39" i="33" s="1"/>
  <c r="S40" i="33"/>
  <c r="H39" i="37"/>
  <c r="AB39" i="37" s="1"/>
  <c r="F11" i="40"/>
  <c r="AA11" i="40"/>
  <c r="H11" i="40"/>
  <c r="AB11" i="40" s="1"/>
  <c r="AC40" i="40"/>
  <c r="AC9" i="40"/>
  <c r="S34" i="40"/>
  <c r="F42" i="39"/>
  <c r="AA42" i="39"/>
  <c r="F41" i="39"/>
  <c r="S41" i="39" s="1"/>
  <c r="H40" i="39"/>
  <c r="H39" i="39"/>
  <c r="U39" i="39"/>
  <c r="S38" i="39"/>
  <c r="S34" i="39"/>
  <c r="H34" i="39"/>
  <c r="U34" i="39"/>
  <c r="E100" i="39"/>
  <c r="F100" i="39" s="1"/>
  <c r="H19" i="39"/>
  <c r="AB19" i="39"/>
  <c r="F19" i="39"/>
  <c r="H17" i="39"/>
  <c r="AB17" i="39"/>
  <c r="F17" i="39"/>
  <c r="J23" i="40"/>
  <c r="AC23" i="40" s="1"/>
  <c r="F21" i="40"/>
  <c r="J21" i="40"/>
  <c r="W21" i="40" s="1"/>
  <c r="H42" i="39"/>
  <c r="AB42" i="39"/>
  <c r="J34" i="39"/>
  <c r="AC34" i="39" s="1"/>
  <c r="F108" i="39"/>
  <c r="G108" i="39"/>
  <c r="H108" i="39"/>
  <c r="I108" i="39" s="1"/>
  <c r="J108" i="39" s="1"/>
  <c r="K108" i="39" s="1"/>
  <c r="L108" i="39" s="1"/>
  <c r="M108" i="39" s="1"/>
  <c r="H27" i="39"/>
  <c r="U27" i="39"/>
  <c r="J19" i="39"/>
  <c r="AC19" i="39" s="1"/>
  <c r="J17" i="39"/>
  <c r="W17" i="39"/>
  <c r="J27" i="39"/>
  <c r="AC27" i="39" s="1"/>
  <c r="F27" i="39"/>
  <c r="AA27" i="39"/>
  <c r="F11" i="21"/>
  <c r="S11" i="21" s="1"/>
  <c r="C25" i="39"/>
  <c r="C27" i="39"/>
  <c r="C21" i="39"/>
  <c r="H11" i="39"/>
  <c r="H32" i="33"/>
  <c r="H11" i="21"/>
  <c r="U11" i="21" s="1"/>
  <c r="H37" i="40"/>
  <c r="U37" i="40" s="1"/>
  <c r="H36" i="40"/>
  <c r="F35" i="40"/>
  <c r="H23" i="40"/>
  <c r="U23" i="40" s="1"/>
  <c r="H17" i="40"/>
  <c r="U17" i="40" s="1"/>
  <c r="J15" i="40"/>
  <c r="J11" i="40"/>
  <c r="W11" i="40"/>
  <c r="F37" i="39"/>
  <c r="AA37" i="39"/>
  <c r="J34" i="36"/>
  <c r="W34" i="36" s="1"/>
  <c r="U30" i="36"/>
  <c r="J30" i="35"/>
  <c r="W30" i="35"/>
  <c r="H30" i="35"/>
  <c r="AB30" i="35"/>
  <c r="F22" i="35"/>
  <c r="AA22" i="35"/>
  <c r="H10" i="35"/>
  <c r="U10" i="35"/>
  <c r="F33" i="36"/>
  <c r="AA33" i="36"/>
  <c r="H16" i="36"/>
  <c r="G85" i="36"/>
  <c r="H85" i="36" s="1"/>
  <c r="I85" i="36" s="1"/>
  <c r="J85" i="36" s="1"/>
  <c r="K85" i="36" s="1"/>
  <c r="L85" i="36" s="1"/>
  <c r="M85" i="36" s="1"/>
  <c r="J29" i="36"/>
  <c r="AC29" i="36"/>
  <c r="F34" i="36"/>
  <c r="F14" i="35"/>
  <c r="AA14" i="35"/>
  <c r="J32" i="35"/>
  <c r="AC32" i="35"/>
  <c r="J16" i="35"/>
  <c r="AC16" i="35"/>
  <c r="H16" i="35"/>
  <c r="U16" i="35" s="1"/>
  <c r="F16" i="35"/>
  <c r="S16" i="35"/>
  <c r="H14" i="35"/>
  <c r="J29" i="35"/>
  <c r="H33" i="35"/>
  <c r="J20" i="35"/>
  <c r="F35" i="37"/>
  <c r="S35" i="37" s="1"/>
  <c r="E101" i="37"/>
  <c r="F101" i="37"/>
  <c r="G101" i="37"/>
  <c r="H101" i="37" s="1"/>
  <c r="I101" i="37" s="1"/>
  <c r="J101" i="37" s="1"/>
  <c r="K101" i="37" s="1"/>
  <c r="L101" i="37" s="1"/>
  <c r="M101" i="37" s="1"/>
  <c r="J34" i="37"/>
  <c r="W34" i="37"/>
  <c r="AA39" i="37"/>
  <c r="J33" i="37"/>
  <c r="AC33" i="37"/>
  <c r="U42" i="34"/>
  <c r="H40" i="34"/>
  <c r="U40" i="34" s="1"/>
  <c r="E114" i="34"/>
  <c r="F114" i="34"/>
  <c r="G114" i="34" s="1"/>
  <c r="H114" i="34" s="1"/>
  <c r="I114" i="34" s="1"/>
  <c r="J114" i="34" s="1"/>
  <c r="K114" i="34" s="1"/>
  <c r="L114" i="34" s="1"/>
  <c r="M114" i="34" s="1"/>
  <c r="H36" i="34"/>
  <c r="U36" i="34"/>
  <c r="F37" i="34"/>
  <c r="AA37" i="34" s="1"/>
  <c r="S35" i="34"/>
  <c r="F28" i="34"/>
  <c r="AA28" i="34"/>
  <c r="F25" i="34"/>
  <c r="S25" i="34"/>
  <c r="H23" i="34"/>
  <c r="U23" i="34"/>
  <c r="J23" i="34"/>
  <c r="F19" i="34"/>
  <c r="AA19" i="34"/>
  <c r="H17" i="34"/>
  <c r="F15" i="34"/>
  <c r="S15" i="34" s="1"/>
  <c r="J15" i="34"/>
  <c r="AC15" i="34"/>
  <c r="H15" i="34"/>
  <c r="AB15" i="34"/>
  <c r="W8" i="34"/>
  <c r="J28" i="34"/>
  <c r="W28" i="34" s="1"/>
  <c r="F41" i="33"/>
  <c r="AA41" i="33" s="1"/>
  <c r="F32" i="33"/>
  <c r="J19" i="33"/>
  <c r="AC19" i="33"/>
  <c r="J15" i="33"/>
  <c r="AC15" i="33" s="1"/>
  <c r="F11" i="33"/>
  <c r="AA11" i="33"/>
  <c r="U40" i="33"/>
  <c r="F37" i="40"/>
  <c r="AA37" i="40" s="1"/>
  <c r="F36" i="40"/>
  <c r="AA36" i="40"/>
  <c r="H28" i="40"/>
  <c r="U28" i="40" s="1"/>
  <c r="F23" i="40"/>
  <c r="AA23" i="40" s="1"/>
  <c r="F17" i="40"/>
  <c r="J17" i="40"/>
  <c r="W17" i="40" s="1"/>
  <c r="F15" i="40"/>
  <c r="S15" i="40" s="1"/>
  <c r="H15" i="40"/>
  <c r="F29" i="35"/>
  <c r="S29" i="35" s="1"/>
  <c r="H29" i="35"/>
  <c r="AB29" i="35"/>
  <c r="H33" i="37"/>
  <c r="F33" i="37"/>
  <c r="AA33" i="37"/>
  <c r="S34" i="37"/>
  <c r="J43" i="34"/>
  <c r="AB42" i="34"/>
  <c r="J40" i="34"/>
  <c r="H38" i="34"/>
  <c r="AB38" i="34" s="1"/>
  <c r="J36" i="34"/>
  <c r="H37" i="34"/>
  <c r="U37" i="34"/>
  <c r="H25" i="34"/>
  <c r="AB25" i="34"/>
  <c r="J25" i="34"/>
  <c r="AB23" i="34"/>
  <c r="F23" i="34"/>
  <c r="J19" i="34"/>
  <c r="AC19" i="34" s="1"/>
  <c r="F17" i="34"/>
  <c r="J17" i="34"/>
  <c r="W17" i="34"/>
  <c r="AA15" i="34"/>
  <c r="I113" i="33"/>
  <c r="J113" i="33" s="1"/>
  <c r="K113" i="33" s="1"/>
  <c r="L113" i="33" s="1"/>
  <c r="M113" i="33"/>
  <c r="H37" i="33"/>
  <c r="AB37" i="33" s="1"/>
  <c r="H15" i="33"/>
  <c r="AB15" i="33"/>
  <c r="H11" i="33"/>
  <c r="F28" i="40"/>
  <c r="AA28" i="40"/>
  <c r="AA29" i="35"/>
  <c r="S42" i="34"/>
  <c r="AC38" i="34"/>
  <c r="AA38" i="34"/>
  <c r="J37" i="34"/>
  <c r="AC37" i="34"/>
  <c r="J11" i="33"/>
  <c r="W11" i="33"/>
  <c r="S28" i="34"/>
  <c r="J44" i="34"/>
  <c r="F44" i="34"/>
  <c r="AA44" i="34" s="1"/>
  <c r="J10" i="35"/>
  <c r="AC10" i="35" s="1"/>
  <c r="J44" i="21"/>
  <c r="H44" i="21"/>
  <c r="U44" i="21" s="1"/>
  <c r="AA44" i="21"/>
  <c r="H46" i="21"/>
  <c r="U46" i="21" s="1"/>
  <c r="J46" i="21"/>
  <c r="F46" i="21"/>
  <c r="AA46" i="21"/>
  <c r="H28" i="33"/>
  <c r="U28" i="33" s="1"/>
  <c r="F28" i="33"/>
  <c r="AA28" i="33"/>
  <c r="J28" i="33"/>
  <c r="F33" i="35"/>
  <c r="S33" i="35" s="1"/>
  <c r="J33" i="35"/>
  <c r="AC33" i="35" s="1"/>
  <c r="F30" i="35"/>
  <c r="S30" i="35" s="1"/>
  <c r="E89" i="35"/>
  <c r="F89" i="35" s="1"/>
  <c r="G89" i="35"/>
  <c r="H89" i="35"/>
  <c r="I89" i="35" s="1"/>
  <c r="J89" i="35" s="1"/>
  <c r="K89" i="35" s="1"/>
  <c r="L89" i="35" s="1"/>
  <c r="M89" i="35"/>
  <c r="H10" i="36"/>
  <c r="AB10" i="36"/>
  <c r="J14" i="36"/>
  <c r="AC14" i="36"/>
  <c r="H14" i="36"/>
  <c r="F28" i="36"/>
  <c r="AA28" i="36"/>
  <c r="H27" i="21"/>
  <c r="AB27" i="21" s="1"/>
  <c r="J13" i="33"/>
  <c r="H13" i="33"/>
  <c r="U13" i="33"/>
  <c r="F13" i="33"/>
  <c r="S13" i="33" s="1"/>
  <c r="J29" i="33"/>
  <c r="AC29" i="33" s="1"/>
  <c r="H29" i="33"/>
  <c r="U29" i="33" s="1"/>
  <c r="F29" i="33"/>
  <c r="J31" i="33"/>
  <c r="W31" i="33"/>
  <c r="H31" i="33"/>
  <c r="U31" i="33" s="1"/>
  <c r="F31" i="33"/>
  <c r="S31" i="33" s="1"/>
  <c r="H45" i="33"/>
  <c r="U45" i="33"/>
  <c r="J45" i="33"/>
  <c r="W45" i="33" s="1"/>
  <c r="F45" i="33"/>
  <c r="AA45" i="33"/>
  <c r="J14" i="34"/>
  <c r="W14" i="34" s="1"/>
  <c r="F14" i="34"/>
  <c r="S14" i="34"/>
  <c r="H14" i="34"/>
  <c r="H30" i="34"/>
  <c r="U30" i="34"/>
  <c r="F30" i="34"/>
  <c r="J30" i="34"/>
  <c r="W30" i="34"/>
  <c r="H32" i="34"/>
  <c r="U32" i="34" s="1"/>
  <c r="F32" i="34"/>
  <c r="S32" i="34" s="1"/>
  <c r="J32" i="34"/>
  <c r="W32" i="34"/>
  <c r="H46" i="34"/>
  <c r="U46" i="34" s="1"/>
  <c r="F46" i="34"/>
  <c r="J46" i="34"/>
  <c r="W46" i="34" s="1"/>
  <c r="H11" i="35"/>
  <c r="AB11" i="35"/>
  <c r="J11" i="35"/>
  <c r="F11" i="35"/>
  <c r="S11" i="35" s="1"/>
  <c r="J26" i="36"/>
  <c r="W26" i="36"/>
  <c r="H28" i="36"/>
  <c r="U28" i="36" s="1"/>
  <c r="H32" i="36"/>
  <c r="AB32" i="36"/>
  <c r="J32" i="36"/>
  <c r="W32" i="36" s="1"/>
  <c r="J11" i="36"/>
  <c r="AC11" i="36"/>
  <c r="F11" i="36"/>
  <c r="H13" i="36"/>
  <c r="AB13" i="36"/>
  <c r="J13" i="36"/>
  <c r="F13" i="36"/>
  <c r="S13" i="36" s="1"/>
  <c r="E89" i="37"/>
  <c r="F89" i="37"/>
  <c r="G89" i="37" s="1"/>
  <c r="H89" i="37" s="1"/>
  <c r="I89" i="37" s="1"/>
  <c r="J89" i="37"/>
  <c r="K89" i="37" s="1"/>
  <c r="L89" i="37" s="1"/>
  <c r="M89" i="37" s="1"/>
  <c r="J29" i="37"/>
  <c r="W29" i="37" s="1"/>
  <c r="F29" i="37"/>
  <c r="S29" i="37"/>
  <c r="H36" i="37"/>
  <c r="J37" i="37"/>
  <c r="AC37" i="37"/>
  <c r="H37" i="37"/>
  <c r="H40" i="37"/>
  <c r="U40" i="37"/>
  <c r="J40" i="37"/>
  <c r="F40" i="37"/>
  <c r="AA40" i="37"/>
  <c r="F30" i="33"/>
  <c r="J29" i="34"/>
  <c r="AC29" i="34" s="1"/>
  <c r="J25" i="36"/>
  <c r="W25" i="36"/>
  <c r="F25" i="36"/>
  <c r="S25" i="36" s="1"/>
  <c r="H25" i="36"/>
  <c r="AB25" i="36"/>
  <c r="F13" i="37"/>
  <c r="S13" i="37" s="1"/>
  <c r="J13" i="37"/>
  <c r="W13" i="37"/>
  <c r="F43" i="39"/>
  <c r="AA43" i="39" s="1"/>
  <c r="H43" i="39"/>
  <c r="H14" i="39"/>
  <c r="H30" i="40"/>
  <c r="AB30" i="40" s="1"/>
  <c r="J35" i="40"/>
  <c r="J37" i="40"/>
  <c r="AC37" i="40"/>
  <c r="H13" i="40"/>
  <c r="J13" i="40"/>
  <c r="W13" i="40"/>
  <c r="F13" i="40"/>
  <c r="F14" i="37"/>
  <c r="S14" i="37"/>
  <c r="F27" i="37"/>
  <c r="AA27" i="37" s="1"/>
  <c r="F13" i="39"/>
  <c r="AA13" i="39"/>
  <c r="J14" i="37"/>
  <c r="J27" i="37"/>
  <c r="AC27" i="37"/>
  <c r="J36" i="37"/>
  <c r="G105" i="37"/>
  <c r="J10" i="36"/>
  <c r="AC10" i="36"/>
  <c r="AC30" i="34"/>
  <c r="AA14" i="34"/>
  <c r="S45" i="33"/>
  <c r="AB45" i="33"/>
  <c r="AB31" i="33"/>
  <c r="F15" i="21"/>
  <c r="S15" i="21" s="1"/>
  <c r="J41" i="39"/>
  <c r="W41" i="39"/>
  <c r="AC45" i="39"/>
  <c r="S35" i="39"/>
  <c r="G536" i="3"/>
  <c r="G528" i="3"/>
  <c r="G500" i="3"/>
  <c r="BL572" i="3"/>
  <c r="BL526" i="3"/>
  <c r="BL582" i="3"/>
  <c r="BL566" i="3"/>
  <c r="BL532" i="3"/>
  <c r="BL524" i="3"/>
  <c r="BA584" i="3"/>
  <c r="BA556" i="3"/>
  <c r="BA548" i="3"/>
  <c r="BA538" i="3"/>
  <c r="BA534" i="3"/>
  <c r="BA530" i="3"/>
  <c r="BA510" i="3"/>
  <c r="BA498" i="3"/>
  <c r="BA565" i="3"/>
  <c r="BA555" i="3"/>
  <c r="BA545" i="3"/>
  <c r="BA541" i="3"/>
  <c r="BA537" i="3"/>
  <c r="AZ537" i="3" s="1"/>
  <c r="BA533" i="3"/>
  <c r="BA529" i="3"/>
  <c r="BA523" i="3"/>
  <c r="BA513" i="3"/>
  <c r="BA503" i="3"/>
  <c r="BA495" i="3"/>
  <c r="G573" i="3"/>
  <c r="G561" i="3"/>
  <c r="BA557" i="3"/>
  <c r="AC557" i="3"/>
  <c r="G557" i="3"/>
  <c r="BQ557" i="3"/>
  <c r="BL557" i="3" s="1"/>
  <c r="BQ583" i="3"/>
  <c r="BQ581" i="3"/>
  <c r="BQ579" i="3"/>
  <c r="BQ577" i="3"/>
  <c r="BQ575" i="3"/>
  <c r="BQ573" i="3"/>
  <c r="BQ571" i="3"/>
  <c r="BQ569" i="3"/>
  <c r="BQ567" i="3"/>
  <c r="BQ565" i="3"/>
  <c r="BQ563" i="3"/>
  <c r="BQ561" i="3"/>
  <c r="BQ559" i="3"/>
  <c r="BL559" i="3" s="1"/>
  <c r="G555" i="3"/>
  <c r="G543" i="3"/>
  <c r="G539" i="3"/>
  <c r="BQ555" i="3"/>
  <c r="BL555" i="3" s="1"/>
  <c r="BQ553" i="3"/>
  <c r="BQ551" i="3"/>
  <c r="BL551" i="3"/>
  <c r="BQ549" i="3"/>
  <c r="BQ547" i="3"/>
  <c r="BQ545" i="3"/>
  <c r="BQ543" i="3"/>
  <c r="BQ541" i="3"/>
  <c r="BQ539" i="3"/>
  <c r="BL539" i="3" s="1"/>
  <c r="BQ537" i="3"/>
  <c r="BQ535" i="3"/>
  <c r="BL535" i="3" s="1"/>
  <c r="BQ533" i="3"/>
  <c r="BQ531" i="3"/>
  <c r="BL531" i="3"/>
  <c r="BQ529" i="3"/>
  <c r="BQ527" i="3"/>
  <c r="BL527" i="3"/>
  <c r="BQ525" i="3"/>
  <c r="BL525" i="3" s="1"/>
  <c r="BQ523" i="3"/>
  <c r="AC521" i="3"/>
  <c r="G521" i="3" s="1"/>
  <c r="BQ521" i="3"/>
  <c r="BL521" i="3" s="1"/>
  <c r="G513" i="3"/>
  <c r="BQ519" i="3"/>
  <c r="BQ517" i="3"/>
  <c r="BQ515" i="3"/>
  <c r="BQ513" i="3"/>
  <c r="BL513" i="3" s="1"/>
  <c r="BQ511" i="3"/>
  <c r="AC509" i="3"/>
  <c r="BQ509" i="3"/>
  <c r="BL509" i="3" s="1"/>
  <c r="G501" i="3"/>
  <c r="BQ507" i="3"/>
  <c r="BQ505" i="3"/>
  <c r="BL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s="1"/>
  <c r="H43" i="33"/>
  <c r="U43" i="33" s="1"/>
  <c r="H17" i="37"/>
  <c r="U17" i="37" s="1"/>
  <c r="F39" i="33"/>
  <c r="E123" i="33"/>
  <c r="F123" i="33" s="1"/>
  <c r="G123" i="33" s="1"/>
  <c r="H123" i="33" s="1"/>
  <c r="I123" i="33" s="1"/>
  <c r="J123" i="33" s="1"/>
  <c r="K123" i="33" s="1"/>
  <c r="L123" i="33" s="1"/>
  <c r="M123" i="33" s="1"/>
  <c r="F42" i="33"/>
  <c r="AA42" i="33" s="1"/>
  <c r="H28" i="34"/>
  <c r="AB28" i="34"/>
  <c r="F14" i="36"/>
  <c r="AA14" i="36" s="1"/>
  <c r="F22" i="36"/>
  <c r="F26" i="36"/>
  <c r="H27" i="34"/>
  <c r="AB27" i="34"/>
  <c r="H35" i="34"/>
  <c r="F41" i="34"/>
  <c r="H41" i="34"/>
  <c r="U41" i="34"/>
  <c r="J41" i="34"/>
  <c r="F10" i="35"/>
  <c r="S10" i="35"/>
  <c r="H24" i="35"/>
  <c r="AB24" i="35" s="1"/>
  <c r="H23" i="37"/>
  <c r="AB23" i="37" s="1"/>
  <c r="J32" i="37"/>
  <c r="F36" i="37"/>
  <c r="F37" i="37"/>
  <c r="AA37" i="37"/>
  <c r="F31" i="40"/>
  <c r="AA31" i="40" s="1"/>
  <c r="H31" i="40"/>
  <c r="U31" i="40"/>
  <c r="J36" i="40"/>
  <c r="H19" i="37"/>
  <c r="AB19" i="37" s="1"/>
  <c r="H42" i="33"/>
  <c r="J43" i="33"/>
  <c r="AC43" i="33" s="1"/>
  <c r="S28" i="31"/>
  <c r="S27" i="31"/>
  <c r="S26" i="31"/>
  <c r="AC31" i="33"/>
  <c r="AC45" i="33"/>
  <c r="F43" i="33"/>
  <c r="W16" i="35"/>
  <c r="H107" i="37"/>
  <c r="I107" i="37" s="1"/>
  <c r="J107" i="37" s="1"/>
  <c r="K107" i="37" s="1"/>
  <c r="L107" i="37" s="1"/>
  <c r="M107" i="37" s="1"/>
  <c r="H37" i="21"/>
  <c r="U37" i="21" s="1"/>
  <c r="H19" i="34"/>
  <c r="AB19" i="34" s="1"/>
  <c r="F36" i="35"/>
  <c r="S36" i="35"/>
  <c r="J9" i="37"/>
  <c r="W9" i="37" s="1"/>
  <c r="H9" i="37"/>
  <c r="U9" i="37"/>
  <c r="F9" i="37"/>
  <c r="S9" i="37" s="1"/>
  <c r="J12" i="37"/>
  <c r="F12" i="37"/>
  <c r="S12" i="37" s="1"/>
  <c r="F15" i="37"/>
  <c r="AA15" i="37" s="1"/>
  <c r="E94" i="37"/>
  <c r="F94" i="37" s="1"/>
  <c r="G94" i="37" s="1"/>
  <c r="H94" i="37" s="1"/>
  <c r="I94" i="37"/>
  <c r="J94" i="37" s="1"/>
  <c r="K94" i="37" s="1"/>
  <c r="L94" i="37" s="1"/>
  <c r="M94" i="37" s="1"/>
  <c r="F31" i="37"/>
  <c r="S31" i="37" s="1"/>
  <c r="F12" i="39"/>
  <c r="J42" i="39"/>
  <c r="AC42" i="39" s="1"/>
  <c r="H21" i="40"/>
  <c r="H31" i="37"/>
  <c r="G71" i="37"/>
  <c r="J15" i="37"/>
  <c r="W15" i="37" s="1"/>
  <c r="AT6" i="3"/>
  <c r="H19" i="40"/>
  <c r="F19" i="40"/>
  <c r="AC43" i="39"/>
  <c r="W43" i="39"/>
  <c r="U45" i="39"/>
  <c r="AB45" i="39"/>
  <c r="G100" i="39"/>
  <c r="H37" i="39"/>
  <c r="AB37" i="39"/>
  <c r="AC37" i="39"/>
  <c r="W37" i="39"/>
  <c r="H25" i="39"/>
  <c r="AB25" i="39"/>
  <c r="J25" i="39"/>
  <c r="F25" i="39"/>
  <c r="AA25" i="39" s="1"/>
  <c r="F15" i="39"/>
  <c r="H15" i="39"/>
  <c r="U15" i="39" s="1"/>
  <c r="J15" i="39"/>
  <c r="W15" i="39" s="1"/>
  <c r="H41" i="39"/>
  <c r="AB41" i="39" s="1"/>
  <c r="W27" i="39"/>
  <c r="AB34" i="39"/>
  <c r="AA41" i="39"/>
  <c r="J19" i="40"/>
  <c r="AC19" i="40"/>
  <c r="J50" i="40"/>
  <c r="H103" i="9"/>
  <c r="D8" i="53" s="1"/>
  <c r="B16" i="53"/>
  <c r="B33" i="72" s="1"/>
  <c r="D52" i="37"/>
  <c r="E52" i="37" s="1"/>
  <c r="A4" i="52"/>
  <c r="B41" i="72" s="1"/>
  <c r="J11" i="39"/>
  <c r="AC11" i="39" s="1"/>
  <c r="F11" i="39"/>
  <c r="G4" i="4"/>
  <c r="I4" i="4"/>
  <c r="A2" i="9"/>
  <c r="F61" i="43"/>
  <c r="H64" i="43" s="1"/>
  <c r="AZ20" i="3"/>
  <c r="AZ32" i="3"/>
  <c r="G303" i="3"/>
  <c r="BL304" i="3"/>
  <c r="G305" i="3"/>
  <c r="BL306" i="3"/>
  <c r="BA308" i="3"/>
  <c r="BA309" i="3"/>
  <c r="AZ309" i="3"/>
  <c r="BL309" i="3"/>
  <c r="G310" i="3"/>
  <c r="BA311" i="3"/>
  <c r="G319" i="3"/>
  <c r="BL320" i="3"/>
  <c r="G321" i="3"/>
  <c r="BL322" i="3"/>
  <c r="BA324" i="3"/>
  <c r="AZ324" i="3" s="1"/>
  <c r="BA325" i="3"/>
  <c r="BL325" i="3"/>
  <c r="AZ325" i="3"/>
  <c r="G326" i="3"/>
  <c r="BA327" i="3"/>
  <c r="G335" i="3"/>
  <c r="BL336" i="3"/>
  <c r="G337" i="3"/>
  <c r="BL338" i="3"/>
  <c r="BA340" i="3"/>
  <c r="BA341" i="3"/>
  <c r="AZ341" i="3" s="1"/>
  <c r="BL341" i="3"/>
  <c r="BA343" i="3"/>
  <c r="BA345" i="3"/>
  <c r="AZ345" i="3" s="1"/>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c r="BL116" i="3"/>
  <c r="AZ116" i="3"/>
  <c r="G117" i="3"/>
  <c r="BA119" i="3"/>
  <c r="AZ119" i="3" s="1"/>
  <c r="BL120" i="3"/>
  <c r="AZ120" i="3" s="1"/>
  <c r="G121" i="3"/>
  <c r="BA123" i="3"/>
  <c r="AZ123" i="3"/>
  <c r="BL124" i="3"/>
  <c r="AZ124" i="3"/>
  <c r="G125" i="3"/>
  <c r="BA127" i="3"/>
  <c r="AZ127" i="3" s="1"/>
  <c r="BL128" i="3"/>
  <c r="G129" i="3"/>
  <c r="BA131" i="3"/>
  <c r="AZ131" i="3" s="1"/>
  <c r="BL132" i="3"/>
  <c r="G133" i="3"/>
  <c r="BA135" i="3"/>
  <c r="BL136" i="3"/>
  <c r="G137" i="3"/>
  <c r="BA139" i="3"/>
  <c r="AZ139" i="3" s="1"/>
  <c r="BL140" i="3"/>
  <c r="AZ140" i="3" s="1"/>
  <c r="G141" i="3"/>
  <c r="BA143" i="3"/>
  <c r="AZ143" i="3"/>
  <c r="BL144" i="3"/>
  <c r="G145" i="3"/>
  <c r="BA147" i="3"/>
  <c r="AZ147" i="3"/>
  <c r="BL148" i="3"/>
  <c r="AZ148" i="3"/>
  <c r="G149" i="3"/>
  <c r="BA151" i="3"/>
  <c r="BL152" i="3"/>
  <c r="AZ152" i="3"/>
  <c r="G153" i="3"/>
  <c r="BA155" i="3"/>
  <c r="BL156" i="3"/>
  <c r="AZ156" i="3"/>
  <c r="G157" i="3"/>
  <c r="BA159" i="3"/>
  <c r="AZ159" i="3" s="1"/>
  <c r="BL160" i="3"/>
  <c r="G161" i="3"/>
  <c r="BA163" i="3"/>
  <c r="AZ163" i="3" s="1"/>
  <c r="BL164" i="3"/>
  <c r="AZ164" i="3" s="1"/>
  <c r="G165" i="3"/>
  <c r="BA167" i="3"/>
  <c r="BL168" i="3"/>
  <c r="AZ168" i="3" s="1"/>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AZ200" i="3" s="1"/>
  <c r="G201" i="3"/>
  <c r="BA203" i="3"/>
  <c r="BL204" i="3"/>
  <c r="AZ204" i="3" s="1"/>
  <c r="AZ47" i="3"/>
  <c r="AZ55" i="3"/>
  <c r="AZ59" i="3"/>
  <c r="AZ79" i="3"/>
  <c r="AZ83" i="3"/>
  <c r="AZ85" i="3"/>
  <c r="AZ93" i="3"/>
  <c r="AZ101" i="3"/>
  <c r="AZ109"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AZ329" i="3" s="1"/>
  <c r="BL329" i="3"/>
  <c r="G330" i="3"/>
  <c r="G333" i="3"/>
  <c r="BL334" i="3"/>
  <c r="BA336" i="3"/>
  <c r="BA337" i="3"/>
  <c r="AZ337" i="3"/>
  <c r="BL337" i="3"/>
  <c r="G338" i="3"/>
  <c r="G341" i="3"/>
  <c r="BA342" i="3"/>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AZ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6" i="3"/>
  <c r="AZ162" i="3"/>
  <c r="AZ178" i="3"/>
  <c r="AZ194" i="3"/>
  <c r="BA16" i="3"/>
  <c r="AZ16" i="3"/>
  <c r="BL303" i="3"/>
  <c r="G304" i="3"/>
  <c r="BA306" i="3"/>
  <c r="AZ306" i="3"/>
  <c r="BL307" i="3"/>
  <c r="AZ307" i="3"/>
  <c r="G308" i="3"/>
  <c r="BA310" i="3"/>
  <c r="BL311" i="3"/>
  <c r="AZ311" i="3"/>
  <c r="G312" i="3"/>
  <c r="BA314" i="3"/>
  <c r="BL315" i="3"/>
  <c r="G316" i="3"/>
  <c r="BA318" i="3"/>
  <c r="AZ318" i="3"/>
  <c r="BL319" i="3"/>
  <c r="G320" i="3"/>
  <c r="BA322" i="3"/>
  <c r="AZ322" i="3"/>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G346" i="3"/>
  <c r="BL349" i="3"/>
  <c r="AZ349" i="3"/>
  <c r="BL352" i="3"/>
  <c r="AZ352" i="3"/>
  <c r="G353" i="3"/>
  <c r="BA357" i="3"/>
  <c r="BL358" i="3"/>
  <c r="AZ358" i="3"/>
  <c r="G359" i="3"/>
  <c r="BA361" i="3"/>
  <c r="AZ361" i="3" s="1"/>
  <c r="BL362" i="3"/>
  <c r="G363" i="3"/>
  <c r="BA365" i="3"/>
  <c r="BL366" i="3"/>
  <c r="G367" i="3"/>
  <c r="BA369" i="3"/>
  <c r="BL370" i="3"/>
  <c r="AZ370" i="3" s="1"/>
  <c r="G371" i="3"/>
  <c r="BA373" i="3"/>
  <c r="AZ373" i="3"/>
  <c r="BL374" i="3"/>
  <c r="AZ374" i="3"/>
  <c r="G375" i="3"/>
  <c r="BA377" i="3"/>
  <c r="AZ377" i="3" s="1"/>
  <c r="AZ233" i="3"/>
  <c r="AZ237" i="3"/>
  <c r="AZ245" i="3"/>
  <c r="AZ249" i="3"/>
  <c r="AZ253" i="3"/>
  <c r="AZ257" i="3"/>
  <c r="AZ261" i="3"/>
  <c r="AZ269" i="3"/>
  <c r="BA379" i="3"/>
  <c r="AZ379" i="3"/>
  <c r="BL380" i="3"/>
  <c r="G381" i="3"/>
  <c r="BA383" i="3"/>
  <c r="AZ383" i="3" s="1"/>
  <c r="BL384" i="3"/>
  <c r="AZ384" i="3" s="1"/>
  <c r="G385" i="3"/>
  <c r="BA387" i="3"/>
  <c r="BL388" i="3"/>
  <c r="AZ388" i="3" s="1"/>
  <c r="G389" i="3"/>
  <c r="BA391" i="3"/>
  <c r="AZ391" i="3" s="1"/>
  <c r="BL392" i="3"/>
  <c r="AZ392" i="3" s="1"/>
  <c r="G393" i="3"/>
  <c r="AZ263" i="3"/>
  <c r="AZ279" i="3"/>
  <c r="AZ317" i="3"/>
  <c r="G520" i="3"/>
  <c r="G17" i="3"/>
  <c r="BA17" i="3"/>
  <c r="AZ17" i="3" s="1"/>
  <c r="BA15" i="3"/>
  <c r="AZ394" i="3"/>
  <c r="G509" i="3"/>
  <c r="AZ491" i="3"/>
  <c r="F83" i="43"/>
  <c r="H85" i="43" s="1"/>
  <c r="F50" i="43"/>
  <c r="H54" i="43" s="1"/>
  <c r="F72" i="43"/>
  <c r="H75" i="43" s="1"/>
  <c r="U17" i="39"/>
  <c r="S14" i="35"/>
  <c r="G10" i="1"/>
  <c r="W37" i="37"/>
  <c r="S15" i="37"/>
  <c r="U13" i="37"/>
  <c r="J37" i="33"/>
  <c r="W37" i="33"/>
  <c r="F106" i="33"/>
  <c r="G106" i="33"/>
  <c r="H106" i="33" s="1"/>
  <c r="I106" i="33"/>
  <c r="J106" i="33" s="1"/>
  <c r="K106" i="33" s="1"/>
  <c r="L106" i="33" s="1"/>
  <c r="M106" i="33" s="1"/>
  <c r="J34" i="33"/>
  <c r="W34" i="33"/>
  <c r="F33" i="34"/>
  <c r="S33" i="34"/>
  <c r="H20" i="36"/>
  <c r="U20" i="36" s="1"/>
  <c r="J20" i="36"/>
  <c r="W20" i="36"/>
  <c r="J27" i="36"/>
  <c r="W27" i="36" s="1"/>
  <c r="G111" i="40"/>
  <c r="H111" i="40"/>
  <c r="I111" i="40" s="1"/>
  <c r="J111" i="40" s="1"/>
  <c r="K111" i="40" s="1"/>
  <c r="L111" i="40"/>
  <c r="M111" i="40" s="1"/>
  <c r="H35" i="40"/>
  <c r="AB35" i="40" s="1"/>
  <c r="AC29" i="35"/>
  <c r="W29" i="35"/>
  <c r="H35" i="37"/>
  <c r="U35" i="37" s="1"/>
  <c r="H20" i="35"/>
  <c r="F20" i="35"/>
  <c r="AA20" i="35" s="1"/>
  <c r="AB29" i="36"/>
  <c r="U29" i="36"/>
  <c r="H32" i="37"/>
  <c r="AB32" i="37" s="1"/>
  <c r="F96" i="37"/>
  <c r="G96" i="37" s="1"/>
  <c r="H96" i="37" s="1"/>
  <c r="I96" i="37" s="1"/>
  <c r="J96" i="37" s="1"/>
  <c r="K96" i="37" s="1"/>
  <c r="L96" i="37" s="1"/>
  <c r="M96" i="37" s="1"/>
  <c r="J27" i="40"/>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F39" i="39"/>
  <c r="S39" i="39"/>
  <c r="J39" i="39"/>
  <c r="AC39" i="39" s="1"/>
  <c r="E96" i="39"/>
  <c r="F96" i="39"/>
  <c r="G96" i="39" s="1"/>
  <c r="AZ354" i="3"/>
  <c r="C40" i="11"/>
  <c r="AZ215" i="3"/>
  <c r="AZ232" i="3"/>
  <c r="AZ235" i="3"/>
  <c r="AZ248" i="3"/>
  <c r="AZ251" i="3"/>
  <c r="AZ256" i="3"/>
  <c r="AZ259" i="3"/>
  <c r="AZ296" i="3"/>
  <c r="AZ133" i="3"/>
  <c r="AZ29" i="3"/>
  <c r="AZ31" i="3"/>
  <c r="AZ37" i="3"/>
  <c r="AZ45" i="3"/>
  <c r="AZ58" i="3"/>
  <c r="AZ61" i="3"/>
  <c r="AZ74" i="3"/>
  <c r="AZ77" i="3"/>
  <c r="F23" i="39"/>
  <c r="AA23" i="39"/>
  <c r="H27" i="36"/>
  <c r="U27" i="36" s="1"/>
  <c r="F27" i="36"/>
  <c r="AA27" i="36"/>
  <c r="H33" i="34"/>
  <c r="U33" i="34" s="1"/>
  <c r="F32" i="37"/>
  <c r="AA32" i="37"/>
  <c r="F20" i="36"/>
  <c r="AA20" i="36" s="1"/>
  <c r="J33" i="34"/>
  <c r="AC33" i="34"/>
  <c r="H23" i="39"/>
  <c r="U23" i="39" s="1"/>
  <c r="D48" i="9"/>
  <c r="M52" i="9"/>
  <c r="K9" i="1"/>
  <c r="M9" i="1" s="1"/>
  <c r="D93" i="9"/>
  <c r="U33" i="36"/>
  <c r="AC12" i="39"/>
  <c r="W12" i="39"/>
  <c r="AZ441" i="3"/>
  <c r="AA39" i="34"/>
  <c r="BL14" i="3"/>
  <c r="F12" i="33"/>
  <c r="AA12" i="33" s="1"/>
  <c r="H12" i="39"/>
  <c r="AB12" i="39"/>
  <c r="F39" i="40"/>
  <c r="BA14" i="3"/>
  <c r="AZ14" i="3"/>
  <c r="AZ213" i="3"/>
  <c r="AZ224" i="3"/>
  <c r="AZ234" i="3"/>
  <c r="AZ250" i="3"/>
  <c r="AZ281" i="3"/>
  <c r="AZ173" i="3"/>
  <c r="AZ35" i="3"/>
  <c r="B12" i="1"/>
  <c r="E12" i="1" s="1"/>
  <c r="B10" i="1"/>
  <c r="AZ107" i="3"/>
  <c r="K12" i="1"/>
  <c r="M12" i="1" s="1"/>
  <c r="S13" i="1"/>
  <c r="AQ13" i="1" s="1"/>
  <c r="R13" i="1"/>
  <c r="J51" i="67"/>
  <c r="AC34" i="33"/>
  <c r="AA34" i="33"/>
  <c r="AB37" i="40"/>
  <c r="U35" i="40"/>
  <c r="S23" i="40"/>
  <c r="AC17" i="40"/>
  <c r="S30" i="40"/>
  <c r="S28" i="40"/>
  <c r="U37" i="39"/>
  <c r="S43" i="39"/>
  <c r="S37" i="39"/>
  <c r="U35" i="39"/>
  <c r="F32" i="39"/>
  <c r="F106" i="39"/>
  <c r="G106" i="39" s="1"/>
  <c r="H106" i="39" s="1"/>
  <c r="I106" i="39" s="1"/>
  <c r="J106" i="39" s="1"/>
  <c r="K106" i="39" s="1"/>
  <c r="L106" i="39" s="1"/>
  <c r="M106" i="39" s="1"/>
  <c r="U25" i="39"/>
  <c r="AB27" i="39"/>
  <c r="J21" i="39"/>
  <c r="W21" i="39"/>
  <c r="F21" i="39"/>
  <c r="S21" i="39" s="1"/>
  <c r="H21" i="39"/>
  <c r="W19" i="39"/>
  <c r="U19" i="39"/>
  <c r="S9" i="39"/>
  <c r="AC13" i="39"/>
  <c r="U12" i="39"/>
  <c r="U13" i="36"/>
  <c r="U26" i="36"/>
  <c r="S33" i="36"/>
  <c r="W14" i="36"/>
  <c r="U22" i="36"/>
  <c r="S16" i="36"/>
  <c r="AA25" i="36"/>
  <c r="U23" i="36"/>
  <c r="AB20" i="36"/>
  <c r="S14" i="36"/>
  <c r="U29" i="35"/>
  <c r="AB27" i="35"/>
  <c r="U32" i="35"/>
  <c r="AA33" i="35"/>
  <c r="AC30" i="35"/>
  <c r="AA36" i="35"/>
  <c r="U22" i="35"/>
  <c r="S20" i="35"/>
  <c r="S22" i="35"/>
  <c r="AA11" i="35"/>
  <c r="AC9" i="35"/>
  <c r="W9" i="35"/>
  <c r="F9" i="35"/>
  <c r="S9" i="35"/>
  <c r="H9" i="35"/>
  <c r="U9" i="35" s="1"/>
  <c r="AB40" i="37"/>
  <c r="W27" i="37"/>
  <c r="AC29" i="37"/>
  <c r="U29" i="37"/>
  <c r="S32" i="37"/>
  <c r="W30" i="37"/>
  <c r="U32" i="37"/>
  <c r="AC35" i="37"/>
  <c r="W39" i="37"/>
  <c r="AC15" i="37"/>
  <c r="J17" i="37"/>
  <c r="F17" i="37"/>
  <c r="AA17" i="37"/>
  <c r="AB17" i="37"/>
  <c r="F19" i="37"/>
  <c r="AA19" i="37" s="1"/>
  <c r="F23" i="37"/>
  <c r="S23" i="37"/>
  <c r="U23" i="37"/>
  <c r="U15" i="37"/>
  <c r="AC13" i="37"/>
  <c r="AA13" i="37"/>
  <c r="H10" i="37"/>
  <c r="AB10" i="37" s="1"/>
  <c r="F63" i="37"/>
  <c r="F11" i="37"/>
  <c r="S11" i="37" s="1"/>
  <c r="AA33" i="34"/>
  <c r="U44" i="34"/>
  <c r="AC39" i="34"/>
  <c r="AC42" i="34"/>
  <c r="S43" i="34"/>
  <c r="AB41" i="34"/>
  <c r="AA25" i="34"/>
  <c r="U28" i="34"/>
  <c r="U27" i="34"/>
  <c r="U15" i="34"/>
  <c r="H10" i="34"/>
  <c r="AB10" i="34" s="1"/>
  <c r="F11" i="34"/>
  <c r="S11" i="34"/>
  <c r="W42" i="33"/>
  <c r="AA35" i="33"/>
  <c r="AB29" i="33"/>
  <c r="W38" i="33"/>
  <c r="H41" i="33"/>
  <c r="S42" i="33"/>
  <c r="F36" i="33"/>
  <c r="AA36" i="33" s="1"/>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F91" i="33"/>
  <c r="G91" i="33"/>
  <c r="H91" i="33"/>
  <c r="I91" i="33" s="1"/>
  <c r="J91" i="33" s="1"/>
  <c r="K91" i="33" s="1"/>
  <c r="L91" i="33"/>
  <c r="M91" i="33" s="1"/>
  <c r="F87" i="33"/>
  <c r="H25" i="33"/>
  <c r="U25" i="33" s="1"/>
  <c r="F25" i="33"/>
  <c r="AA25" i="33" s="1"/>
  <c r="J23" i="33"/>
  <c r="F85" i="33"/>
  <c r="H23" i="33"/>
  <c r="F81" i="33"/>
  <c r="F19" i="33"/>
  <c r="S19" i="33" s="1"/>
  <c r="W19" i="33"/>
  <c r="J17" i="33"/>
  <c r="S15" i="33"/>
  <c r="J10" i="33"/>
  <c r="W10" i="33"/>
  <c r="H10" i="33"/>
  <c r="U10" i="33" s="1"/>
  <c r="AC11" i="33"/>
  <c r="J15" i="21"/>
  <c r="E85" i="21"/>
  <c r="F23" i="21" s="1"/>
  <c r="S23" i="21" s="1"/>
  <c r="F85" i="21"/>
  <c r="G85" i="21"/>
  <c r="G13" i="3"/>
  <c r="BA13" i="3"/>
  <c r="BL17" i="3"/>
  <c r="BL13" i="3"/>
  <c r="J56" i="9"/>
  <c r="J57" i="9"/>
  <c r="J59" i="9"/>
  <c r="J61" i="9" s="1"/>
  <c r="A24" i="51"/>
  <c r="B18" i="72"/>
  <c r="E32" i="6"/>
  <c r="G1" i="68"/>
  <c r="K1" i="12"/>
  <c r="E19" i="69"/>
  <c r="E19" i="68"/>
  <c r="E19" i="11"/>
  <c r="E1" i="73"/>
  <c r="G22" i="68"/>
  <c r="G22" i="11"/>
  <c r="C6" i="43"/>
  <c r="B19" i="53"/>
  <c r="B37" i="72"/>
  <c r="C7" i="39"/>
  <c r="C67" i="39" s="1"/>
  <c r="D67" i="39" s="1"/>
  <c r="E67" i="39" s="1"/>
  <c r="A4" i="51"/>
  <c r="B6" i="72" s="1"/>
  <c r="H67" i="43"/>
  <c r="L20" i="6"/>
  <c r="B6" i="1"/>
  <c r="E6" i="1" s="1"/>
  <c r="K11" i="1"/>
  <c r="O11" i="1"/>
  <c r="B9" i="1"/>
  <c r="E9" i="1" s="1"/>
  <c r="K7" i="1"/>
  <c r="M7" i="1" s="1"/>
  <c r="O7" i="1"/>
  <c r="P7" i="1"/>
  <c r="G1" i="15"/>
  <c r="G1" i="69"/>
  <c r="G1" i="67"/>
  <c r="W23" i="40"/>
  <c r="AB31" i="40"/>
  <c r="S37" i="40"/>
  <c r="AB28" i="40"/>
  <c r="W28" i="40"/>
  <c r="W34" i="40"/>
  <c r="S36" i="40"/>
  <c r="W37" i="40"/>
  <c r="AA15" i="40"/>
  <c r="U11" i="40"/>
  <c r="S31"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A16" i="35"/>
  <c r="S40" i="37"/>
  <c r="AC34" i="37"/>
  <c r="AB35" i="37"/>
  <c r="AA31" i="37"/>
  <c r="AA29" i="37"/>
  <c r="U8" i="37"/>
  <c r="AA40" i="34"/>
  <c r="AB40" i="34"/>
  <c r="U19" i="34"/>
  <c r="AB33" i="34"/>
  <c r="U25" i="34"/>
  <c r="AB36" i="34"/>
  <c r="W33" i="34"/>
  <c r="AC14" i="34"/>
  <c r="AC32" i="34"/>
  <c r="W29" i="34"/>
  <c r="AA32" i="34"/>
  <c r="AB30" i="34"/>
  <c r="S37" i="34"/>
  <c r="U38" i="34"/>
  <c r="AC40" i="34"/>
  <c r="W40" i="34"/>
  <c r="S19" i="34"/>
  <c r="AA36" i="34"/>
  <c r="S36" i="34"/>
  <c r="AA8" i="34"/>
  <c r="S8" i="34"/>
  <c r="U9" i="34"/>
  <c r="S46" i="34"/>
  <c r="AA46" i="34"/>
  <c r="AB32" i="34"/>
  <c r="U14" i="34"/>
  <c r="AB14" i="34"/>
  <c r="AC43" i="34"/>
  <c r="W43" i="34"/>
  <c r="W23" i="34"/>
  <c r="AC23" i="34"/>
  <c r="AC35" i="34"/>
  <c r="W35" i="34"/>
  <c r="AC37" i="33"/>
  <c r="U39" i="33"/>
  <c r="U38" i="33"/>
  <c r="S33" i="33"/>
  <c r="AB34" i="33"/>
  <c r="U44" i="33"/>
  <c r="AA31" i="33"/>
  <c r="W13" i="33"/>
  <c r="AC13" i="33"/>
  <c r="U15" i="33"/>
  <c r="S11" i="33"/>
  <c r="S28" i="33"/>
  <c r="F37" i="21"/>
  <c r="AA37" i="21" s="1"/>
  <c r="AB46" i="21"/>
  <c r="S35" i="21"/>
  <c r="J37" i="21"/>
  <c r="W37" i="21" s="1"/>
  <c r="H15" i="21"/>
  <c r="U15" i="21"/>
  <c r="W39" i="21"/>
  <c r="S46" i="21"/>
  <c r="H45" i="21"/>
  <c r="U45" i="21"/>
  <c r="F29" i="21"/>
  <c r="S29" i="21" s="1"/>
  <c r="H32" i="21"/>
  <c r="U32" i="21"/>
  <c r="K141" i="21"/>
  <c r="K143" i="21"/>
  <c r="F10" i="21"/>
  <c r="AA10" i="21"/>
  <c r="W25" i="21"/>
  <c r="AB36" i="21"/>
  <c r="C19" i="39"/>
  <c r="C15" i="40"/>
  <c r="C17" i="40"/>
  <c r="C23" i="40"/>
  <c r="C21" i="40"/>
  <c r="U30" i="40"/>
  <c r="B56" i="43"/>
  <c r="B67" i="43"/>
  <c r="B51" i="43"/>
  <c r="B54" i="43"/>
  <c r="B58" i="43"/>
  <c r="B62" i="43"/>
  <c r="B65" i="43"/>
  <c r="B69" i="43"/>
  <c r="D23" i="15"/>
  <c r="D22" i="15"/>
  <c r="S12" i="33"/>
  <c r="J32" i="39"/>
  <c r="W32" i="39" s="1"/>
  <c r="H32" i="39"/>
  <c r="AB32" i="39"/>
  <c r="AB21" i="39"/>
  <c r="U21" i="39"/>
  <c r="AA21" i="39"/>
  <c r="J19" i="37"/>
  <c r="W19" i="37" s="1"/>
  <c r="AC19" i="37"/>
  <c r="G75" i="37"/>
  <c r="AA23" i="37"/>
  <c r="J23" i="37"/>
  <c r="G79" i="37"/>
  <c r="J10" i="37"/>
  <c r="W10" i="37"/>
  <c r="G63" i="37"/>
  <c r="H63" i="37" s="1"/>
  <c r="I63" i="37" s="1"/>
  <c r="J63" i="37" s="1"/>
  <c r="K63" i="37" s="1"/>
  <c r="L63" i="37" s="1"/>
  <c r="M63" i="37" s="1"/>
  <c r="H11" i="37"/>
  <c r="AB11" i="37" s="1"/>
  <c r="G70" i="34"/>
  <c r="H11" i="34"/>
  <c r="U11" i="34"/>
  <c r="J10" i="34"/>
  <c r="AC10" i="34" s="1"/>
  <c r="AB41" i="33"/>
  <c r="U41" i="33"/>
  <c r="W35" i="33"/>
  <c r="H111" i="33"/>
  <c r="I111" i="33"/>
  <c r="J111" i="33" s="1"/>
  <c r="K111" i="33" s="1"/>
  <c r="L111" i="33" s="1"/>
  <c r="M111" i="33"/>
  <c r="J36" i="33"/>
  <c r="W36" i="33" s="1"/>
  <c r="H36" i="33"/>
  <c r="AB36" i="33" s="1"/>
  <c r="U36" i="33"/>
  <c r="S36" i="33"/>
  <c r="W32" i="33"/>
  <c r="J27" i="33"/>
  <c r="AB25" i="33"/>
  <c r="S25" i="33"/>
  <c r="G87" i="33"/>
  <c r="H87" i="33"/>
  <c r="I87" i="33"/>
  <c r="J87" i="33" s="1"/>
  <c r="K87" i="33" s="1"/>
  <c r="L87" i="33" s="1"/>
  <c r="M87" i="33"/>
  <c r="J25" i="33"/>
  <c r="AC25" i="33" s="1"/>
  <c r="AB23" i="33"/>
  <c r="U23" i="33"/>
  <c r="F23" i="33"/>
  <c r="S23" i="33" s="1"/>
  <c r="G85" i="33"/>
  <c r="AC23" i="33"/>
  <c r="W23" i="33"/>
  <c r="AA19" i="33"/>
  <c r="H19" i="33"/>
  <c r="U19" i="33"/>
  <c r="G81" i="33"/>
  <c r="H17" i="33"/>
  <c r="F17" i="33"/>
  <c r="S17" i="33"/>
  <c r="J23" i="21"/>
  <c r="W23" i="21" s="1"/>
  <c r="AP7" i="1"/>
  <c r="AB45" i="21"/>
  <c r="A18" i="62"/>
  <c r="B64" i="72"/>
  <c r="U32" i="39"/>
  <c r="AC32" i="39"/>
  <c r="J11" i="37"/>
  <c r="AC11" i="37" s="1"/>
  <c r="H70" i="34"/>
  <c r="I70" i="34"/>
  <c r="J70" i="34"/>
  <c r="K70" i="34" s="1"/>
  <c r="L70" i="34" s="1"/>
  <c r="M70" i="34" s="1"/>
  <c r="J11" i="34"/>
  <c r="W11" i="34" s="1"/>
  <c r="W25" i="33"/>
  <c r="AA23" i="33"/>
  <c r="AA17" i="33"/>
  <c r="U17" i="33"/>
  <c r="AB17" i="33"/>
  <c r="H109" i="9"/>
  <c r="M49" i="9"/>
  <c r="H112" i="9"/>
  <c r="D21" i="53" s="1"/>
  <c r="B39" i="72" s="1"/>
  <c r="H111" i="9"/>
  <c r="D126" i="9"/>
  <c r="AD3" i="71"/>
  <c r="J1" i="73"/>
  <c r="H69" i="43"/>
  <c r="H50" i="43"/>
  <c r="S24" i="71"/>
  <c r="AB22" i="71"/>
  <c r="X20" i="71"/>
  <c r="X19" i="71"/>
  <c r="AA20" i="71"/>
  <c r="AA19" i="71"/>
  <c r="X23" i="71"/>
  <c r="Y19" i="71"/>
  <c r="Z19" i="71" s="1"/>
  <c r="AB20" i="71"/>
  <c r="AB19" i="71"/>
  <c r="Y20" i="71"/>
  <c r="Z20" i="71" s="1"/>
  <c r="X3" i="71"/>
  <c r="F32" i="21"/>
  <c r="AA32" i="21" s="1"/>
  <c r="S32" i="21"/>
  <c r="AA40" i="21"/>
  <c r="S40" i="21"/>
  <c r="E119" i="21"/>
  <c r="F119" i="21"/>
  <c r="G119" i="21" s="1"/>
  <c r="H119" i="21" s="1"/>
  <c r="I119" i="21" s="1"/>
  <c r="J119" i="21" s="1"/>
  <c r="K119" i="21" s="1"/>
  <c r="L119" i="21" s="1"/>
  <c r="M119" i="21" s="1"/>
  <c r="H40" i="21"/>
  <c r="U40" i="21" s="1"/>
  <c r="C18" i="9"/>
  <c r="D18" i="9" s="1"/>
  <c r="H5" i="3"/>
  <c r="J32" i="21"/>
  <c r="W32" i="21" s="1"/>
  <c r="AZ542" i="3"/>
  <c r="U31" i="37"/>
  <c r="AB31" i="37"/>
  <c r="AB21" i="40"/>
  <c r="U21" i="40"/>
  <c r="S12" i="39"/>
  <c r="AA12" i="39"/>
  <c r="AA43" i="33"/>
  <c r="S43" i="33"/>
  <c r="AA39" i="33"/>
  <c r="S39" i="33"/>
  <c r="W46" i="21"/>
  <c r="AC46" i="21"/>
  <c r="W36" i="34"/>
  <c r="AC36" i="34"/>
  <c r="AB33" i="37"/>
  <c r="U33" i="37"/>
  <c r="AA32" i="33"/>
  <c r="S32" i="33"/>
  <c r="AB33" i="35"/>
  <c r="U33" i="35"/>
  <c r="AB14" i="35"/>
  <c r="U14" i="35"/>
  <c r="S34" i="36"/>
  <c r="AA34" i="36"/>
  <c r="AA35" i="40"/>
  <c r="S35" i="40"/>
  <c r="AB40" i="39"/>
  <c r="U40" i="39"/>
  <c r="AC35" i="39"/>
  <c r="W35" i="39"/>
  <c r="BA587" i="3"/>
  <c r="AZ587" i="3" s="1"/>
  <c r="BA585" i="3"/>
  <c r="AC35" i="21"/>
  <c r="E79" i="21"/>
  <c r="F79" i="21" s="1"/>
  <c r="G79" i="21" s="1"/>
  <c r="H17" i="21"/>
  <c r="AB17" i="21"/>
  <c r="H9" i="33"/>
  <c r="F9" i="33"/>
  <c r="AA9" i="33"/>
  <c r="AB28" i="35"/>
  <c r="U28" i="35"/>
  <c r="AA32" i="35"/>
  <c r="S32" i="35"/>
  <c r="AA34" i="35"/>
  <c r="S34" i="35"/>
  <c r="AC24" i="35"/>
  <c r="W24" i="35"/>
  <c r="J9" i="36"/>
  <c r="F9" i="36"/>
  <c r="AC8" i="40"/>
  <c r="W8" i="40"/>
  <c r="AB9" i="40"/>
  <c r="U9" i="40"/>
  <c r="AA40" i="40"/>
  <c r="S40" i="40"/>
  <c r="BA573" i="3"/>
  <c r="BL571" i="3"/>
  <c r="BL564" i="3"/>
  <c r="BL563" i="3"/>
  <c r="BL561" i="3"/>
  <c r="BA561" i="3"/>
  <c r="AZ561" i="3" s="1"/>
  <c r="BL558" i="3"/>
  <c r="BA558" i="3"/>
  <c r="BA550" i="3"/>
  <c r="BA547" i="3"/>
  <c r="BL545" i="3"/>
  <c r="AZ545" i="3" s="1"/>
  <c r="BA544" i="3"/>
  <c r="BA543" i="3"/>
  <c r="AZ315" i="3"/>
  <c r="AZ366" i="3"/>
  <c r="AB19" i="33"/>
  <c r="AB32" i="21"/>
  <c r="S17" i="37"/>
  <c r="W30" i="40"/>
  <c r="K145" i="21"/>
  <c r="H9" i="21"/>
  <c r="AC38" i="21"/>
  <c r="J17" i="21"/>
  <c r="AC17" i="21"/>
  <c r="W8" i="33"/>
  <c r="U37" i="33"/>
  <c r="AB28" i="33"/>
  <c r="W19" i="34"/>
  <c r="U19" i="37"/>
  <c r="AA35" i="37"/>
  <c r="U24" i="35"/>
  <c r="W23" i="36"/>
  <c r="S20" i="36"/>
  <c r="AA39" i="39"/>
  <c r="W19" i="40"/>
  <c r="D120" i="9"/>
  <c r="S39" i="21"/>
  <c r="W15" i="33"/>
  <c r="W43" i="33"/>
  <c r="S37" i="37"/>
  <c r="AB16" i="35"/>
  <c r="AC26" i="36"/>
  <c r="S32" i="36"/>
  <c r="U34" i="36"/>
  <c r="AC17" i="34"/>
  <c r="W9" i="39"/>
  <c r="S42" i="39"/>
  <c r="AC13" i="40"/>
  <c r="W12" i="37"/>
  <c r="AC12" i="37"/>
  <c r="W15" i="34"/>
  <c r="U39" i="37"/>
  <c r="W36" i="40"/>
  <c r="AC36" i="40"/>
  <c r="AA36" i="37"/>
  <c r="S36" i="37"/>
  <c r="F24" i="35"/>
  <c r="AC41" i="34"/>
  <c r="W41" i="34"/>
  <c r="S22" i="36"/>
  <c r="AA22" i="36"/>
  <c r="AB27" i="37"/>
  <c r="AC28" i="34"/>
  <c r="BL543" i="3"/>
  <c r="BL547" i="3"/>
  <c r="BL573" i="3"/>
  <c r="F17" i="21"/>
  <c r="AA17" i="21"/>
  <c r="AA14" i="37"/>
  <c r="H13" i="39"/>
  <c r="AA11" i="36"/>
  <c r="S11" i="36"/>
  <c r="U14" i="36"/>
  <c r="AB14" i="36"/>
  <c r="AA17" i="34"/>
  <c r="S17" i="34"/>
  <c r="AA23" i="34"/>
  <c r="S23" i="34"/>
  <c r="AC25" i="34"/>
  <c r="W25" i="34"/>
  <c r="AC11" i="40"/>
  <c r="W20" i="35"/>
  <c r="AC20" i="35"/>
  <c r="AB16" i="36"/>
  <c r="U16" i="36"/>
  <c r="AC16" i="36"/>
  <c r="W15" i="40"/>
  <c r="AC15" i="40"/>
  <c r="AB23" i="40"/>
  <c r="AB36" i="40"/>
  <c r="U36" i="40"/>
  <c r="AB32" i="33"/>
  <c r="U32" i="33"/>
  <c r="S40" i="39"/>
  <c r="AA21" i="40"/>
  <c r="S21" i="40"/>
  <c r="AA17" i="39"/>
  <c r="S17" i="39"/>
  <c r="AA19" i="39"/>
  <c r="S19" i="39"/>
  <c r="U34" i="40"/>
  <c r="J12" i="21"/>
  <c r="J27" i="21"/>
  <c r="W27" i="21" s="1"/>
  <c r="F27" i="21"/>
  <c r="S27" i="21" s="1"/>
  <c r="J9" i="33"/>
  <c r="AC40" i="33"/>
  <c r="W40" i="33"/>
  <c r="F27" i="33"/>
  <c r="H27" i="33"/>
  <c r="J9" i="34"/>
  <c r="AB43" i="34"/>
  <c r="U43" i="34"/>
  <c r="S12" i="35"/>
  <c r="AA12" i="35"/>
  <c r="W12" i="35"/>
  <c r="AC12" i="35"/>
  <c r="AA28" i="35"/>
  <c r="S28" i="35"/>
  <c r="J34" i="35"/>
  <c r="W14" i="35"/>
  <c r="AC14" i="35"/>
  <c r="J30" i="33"/>
  <c r="H30" i="33"/>
  <c r="H9" i="36"/>
  <c r="AB9" i="36" s="1"/>
  <c r="AA30" i="37"/>
  <c r="S30" i="37"/>
  <c r="AC8" i="39"/>
  <c r="W8" i="39"/>
  <c r="W38" i="39"/>
  <c r="AC38" i="39"/>
  <c r="S9" i="40"/>
  <c r="AA9" i="40"/>
  <c r="H27" i="40"/>
  <c r="F27" i="40"/>
  <c r="AA27" i="40" s="1"/>
  <c r="BL581" i="3"/>
  <c r="BL580" i="3"/>
  <c r="BL579" i="3"/>
  <c r="BL574" i="3"/>
  <c r="BL556" i="3"/>
  <c r="BA554" i="3"/>
  <c r="BL541" i="3"/>
  <c r="AZ541" i="3" s="1"/>
  <c r="BA540" i="3"/>
  <c r="BA539" i="3"/>
  <c r="AZ539" i="3"/>
  <c r="BL537" i="3"/>
  <c r="BL536" i="3"/>
  <c r="AZ536" i="3" s="1"/>
  <c r="BA536" i="3"/>
  <c r="BA535" i="3"/>
  <c r="AZ535" i="3" s="1"/>
  <c r="BL534" i="3"/>
  <c r="AZ534" i="3" s="1"/>
  <c r="BL533" i="3"/>
  <c r="AZ533" i="3" s="1"/>
  <c r="BA532" i="3"/>
  <c r="BA531" i="3"/>
  <c r="AZ531" i="3" s="1"/>
  <c r="BL529" i="3"/>
  <c r="AZ529" i="3" s="1"/>
  <c r="BL528" i="3"/>
  <c r="BA527" i="3"/>
  <c r="AZ527" i="3" s="1"/>
  <c r="BA520" i="3"/>
  <c r="BL517" i="3"/>
  <c r="BA517" i="3"/>
  <c r="BA507" i="3"/>
  <c r="BL506" i="3"/>
  <c r="BL504" i="3"/>
  <c r="BA504" i="3"/>
  <c r="BL501" i="3"/>
  <c r="BL499" i="3"/>
  <c r="BA499" i="3"/>
  <c r="AZ499" i="3" s="1"/>
  <c r="BL495" i="3"/>
  <c r="BP5" i="3"/>
  <c r="BK5" i="3"/>
  <c r="BG5" i="3"/>
  <c r="BC5" i="3"/>
  <c r="BL493" i="3"/>
  <c r="BJ5" i="3"/>
  <c r="M20" i="15"/>
  <c r="M20" i="83"/>
  <c r="F34" i="83"/>
  <c r="F62" i="83" s="1"/>
  <c r="B14" i="74"/>
  <c r="BL15" i="3"/>
  <c r="AZ15" i="3" s="1"/>
  <c r="AZ438" i="3"/>
  <c r="AZ443" i="3"/>
  <c r="F3" i="35"/>
  <c r="G1" i="83"/>
  <c r="B88" i="43"/>
  <c r="C25" i="40"/>
  <c r="AA18" i="36"/>
  <c r="S18" i="36"/>
  <c r="D38" i="71"/>
  <c r="C39" i="71"/>
  <c r="Y26" i="71"/>
  <c r="Z26" i="71"/>
  <c r="Y25" i="71"/>
  <c r="Z25" i="71" s="1"/>
  <c r="AA3" i="71"/>
  <c r="E10" i="1"/>
  <c r="AZ387" i="3"/>
  <c r="AZ369" i="3"/>
  <c r="AZ357" i="3"/>
  <c r="AZ323" i="3"/>
  <c r="AZ310" i="3"/>
  <c r="AZ382" i="3"/>
  <c r="AZ371" i="3"/>
  <c r="AZ342" i="3"/>
  <c r="AZ336" i="3"/>
  <c r="AZ321" i="3"/>
  <c r="AZ304" i="3"/>
  <c r="AZ203" i="3"/>
  <c r="G578" i="3"/>
  <c r="G572" i="3"/>
  <c r="G562" i="3"/>
  <c r="G550" i="3"/>
  <c r="G540" i="3"/>
  <c r="G535" i="3"/>
  <c r="G533" i="3"/>
  <c r="G531" i="3"/>
  <c r="G529" i="3"/>
  <c r="G527" i="3"/>
  <c r="G14" i="3"/>
  <c r="K8" i="1"/>
  <c r="M8" i="1" s="1"/>
  <c r="G399" i="3"/>
  <c r="BL399" i="3"/>
  <c r="AZ399" i="3" s="1"/>
  <c r="G401" i="3"/>
  <c r="G402" i="3"/>
  <c r="G406" i="3"/>
  <c r="G408" i="3"/>
  <c r="G409" i="3"/>
  <c r="BL409" i="3"/>
  <c r="BA410" i="3"/>
  <c r="AZ410" i="3" s="1"/>
  <c r="BL412" i="3"/>
  <c r="AZ412" i="3" s="1"/>
  <c r="BA413" i="3"/>
  <c r="AZ413" i="3"/>
  <c r="G416" i="3"/>
  <c r="BL416" i="3"/>
  <c r="BA417" i="3"/>
  <c r="BA418" i="3"/>
  <c r="BL418" i="3"/>
  <c r="G420" i="3"/>
  <c r="BL420" i="3"/>
  <c r="BA421" i="3"/>
  <c r="BA422" i="3"/>
  <c r="BL422" i="3"/>
  <c r="BA423" i="3"/>
  <c r="AZ423" i="3"/>
  <c r="G426" i="3"/>
  <c r="BL426" i="3"/>
  <c r="BA427" i="3"/>
  <c r="AZ427" i="3"/>
  <c r="BA428" i="3"/>
  <c r="G431" i="3"/>
  <c r="BL431" i="3"/>
  <c r="AZ431" i="3" s="1"/>
  <c r="BA432" i="3"/>
  <c r="AZ432" i="3" s="1"/>
  <c r="BA433" i="3"/>
  <c r="AZ433" i="3"/>
  <c r="BA434" i="3"/>
  <c r="AZ434" i="3" s="1"/>
  <c r="BL434" i="3"/>
  <c r="G436" i="3"/>
  <c r="BL436" i="3"/>
  <c r="G441" i="3"/>
  <c r="G442" i="3"/>
  <c r="G446" i="3"/>
  <c r="G448" i="3"/>
  <c r="BL448" i="3"/>
  <c r="BA449" i="3"/>
  <c r="AZ449" i="3"/>
  <c r="BA450" i="3"/>
  <c r="AZ450" i="3" s="1"/>
  <c r="BL450" i="3"/>
  <c r="G452" i="3"/>
  <c r="BL452" i="3"/>
  <c r="BA453" i="3"/>
  <c r="AZ453" i="3" s="1"/>
  <c r="BA454" i="3"/>
  <c r="BL454" i="3"/>
  <c r="BA455" i="3"/>
  <c r="AZ455" i="3" s="1"/>
  <c r="BL457" i="3"/>
  <c r="G459" i="3"/>
  <c r="G461" i="3"/>
  <c r="BL461" i="3"/>
  <c r="G463" i="3"/>
  <c r="BL463" i="3"/>
  <c r="AZ463" i="3" s="1"/>
  <c r="BA464" i="3"/>
  <c r="AZ464" i="3"/>
  <c r="BA465" i="3"/>
  <c r="AZ465" i="3" s="1"/>
  <c r="G468" i="3"/>
  <c r="BL468" i="3"/>
  <c r="G470" i="3"/>
  <c r="BL470" i="3"/>
  <c r="BA471" i="3"/>
  <c r="AZ471" i="3"/>
  <c r="BL473" i="3"/>
  <c r="AZ473" i="3" s="1"/>
  <c r="BA474" i="3"/>
  <c r="AZ474" i="3"/>
  <c r="G477" i="3"/>
  <c r="G479" i="3"/>
  <c r="BL479" i="3"/>
  <c r="BA480" i="3"/>
  <c r="AZ480" i="3" s="1"/>
  <c r="BA481" i="3"/>
  <c r="BL481" i="3"/>
  <c r="BA482" i="3"/>
  <c r="AZ482" i="3" s="1"/>
  <c r="G485" i="3"/>
  <c r="BL485" i="3"/>
  <c r="BA486" i="3"/>
  <c r="BA487" i="3"/>
  <c r="BL487" i="3"/>
  <c r="BA488" i="3"/>
  <c r="AZ488" i="3" s="1"/>
  <c r="BL490" i="3"/>
  <c r="AZ490" i="3" s="1"/>
  <c r="BL308" i="3"/>
  <c r="AZ308" i="3"/>
  <c r="BL314" i="3"/>
  <c r="AZ314" i="3" s="1"/>
  <c r="BA316" i="3"/>
  <c r="AZ316" i="3" s="1"/>
  <c r="BA319" i="3"/>
  <c r="AZ319" i="3" s="1"/>
  <c r="BA323" i="3"/>
  <c r="BL328" i="3"/>
  <c r="AZ328" i="3" s="1"/>
  <c r="BL333" i="3"/>
  <c r="AZ333" i="3"/>
  <c r="G339" i="3"/>
  <c r="BL340" i="3"/>
  <c r="AZ340" i="3" s="1"/>
  <c r="G347" i="3"/>
  <c r="BL350" i="3"/>
  <c r="AZ350" i="3"/>
  <c r="BA353" i="3"/>
  <c r="AZ353" i="3" s="1"/>
  <c r="G358" i="3"/>
  <c r="BL359" i="3"/>
  <c r="AZ359" i="3"/>
  <c r="BL365" i="3"/>
  <c r="AZ365" i="3"/>
  <c r="BA368" i="3"/>
  <c r="AZ368" i="3"/>
  <c r="AZ278" i="3"/>
  <c r="S21" i="21"/>
  <c r="S21" i="33"/>
  <c r="AA21" i="33"/>
  <c r="AB21" i="34"/>
  <c r="U21" i="34"/>
  <c r="AB25" i="71"/>
  <c r="F28" i="71"/>
  <c r="F27" i="71"/>
  <c r="F26" i="71" s="1"/>
  <c r="AB28" i="71"/>
  <c r="BL381" i="3"/>
  <c r="BL386" i="3"/>
  <c r="AZ386" i="3" s="1"/>
  <c r="G392" i="3"/>
  <c r="BL393" i="3"/>
  <c r="AZ393" i="3"/>
  <c r="BL396" i="3"/>
  <c r="AZ396" i="3" s="1"/>
  <c r="BA397" i="3"/>
  <c r="AZ397" i="3" s="1"/>
  <c r="BL209" i="3"/>
  <c r="AZ209" i="3" s="1"/>
  <c r="BA210" i="3"/>
  <c r="AZ210" i="3"/>
  <c r="G213" i="3"/>
  <c r="G214" i="3"/>
  <c r="G215" i="3"/>
  <c r="G216" i="3"/>
  <c r="BL216" i="3"/>
  <c r="AZ216" i="3" s="1"/>
  <c r="BA217" i="3"/>
  <c r="AZ217" i="3" s="1"/>
  <c r="BA218" i="3"/>
  <c r="AZ218" i="3" s="1"/>
  <c r="G221" i="3"/>
  <c r="BL221" i="3"/>
  <c r="AZ221" i="3" s="1"/>
  <c r="BL223" i="3"/>
  <c r="AZ223" i="3" s="1"/>
  <c r="BA225" i="3"/>
  <c r="AZ225" i="3" s="1"/>
  <c r="BL227" i="3"/>
  <c r="AZ227" i="3" s="1"/>
  <c r="BA228" i="3"/>
  <c r="AZ228" i="3"/>
  <c r="BA229" i="3"/>
  <c r="AZ229" i="3" s="1"/>
  <c r="G232" i="3"/>
  <c r="G233" i="3"/>
  <c r="G234" i="3"/>
  <c r="G235" i="3"/>
  <c r="G236" i="3"/>
  <c r="BL236" i="3"/>
  <c r="AZ236" i="3"/>
  <c r="BL238" i="3"/>
  <c r="AZ238" i="3"/>
  <c r="BA239" i="3"/>
  <c r="AZ239" i="3"/>
  <c r="BA240" i="3"/>
  <c r="AZ240" i="3"/>
  <c r="BA241" i="3"/>
  <c r="AZ241" i="3"/>
  <c r="BL243" i="3"/>
  <c r="AZ243" i="3"/>
  <c r="G245" i="3"/>
  <c r="G246" i="3"/>
  <c r="BL246" i="3"/>
  <c r="G248" i="3"/>
  <c r="G249" i="3"/>
  <c r="G250" i="3"/>
  <c r="G251" i="3"/>
  <c r="G252" i="3"/>
  <c r="BL252" i="3"/>
  <c r="AZ252" i="3" s="1"/>
  <c r="BL254" i="3"/>
  <c r="AZ254" i="3" s="1"/>
  <c r="G256" i="3"/>
  <c r="G257" i="3"/>
  <c r="G258" i="3"/>
  <c r="BL258" i="3"/>
  <c r="G261" i="3"/>
  <c r="G262" i="3"/>
  <c r="BL262" i="3"/>
  <c r="AZ262" i="3" s="1"/>
  <c r="BA264" i="3"/>
  <c r="AZ264" i="3" s="1"/>
  <c r="BA265" i="3"/>
  <c r="AZ265" i="3" s="1"/>
  <c r="BA266" i="3"/>
  <c r="AZ266" i="3"/>
  <c r="BL268" i="3"/>
  <c r="AZ268" i="3" s="1"/>
  <c r="BA270" i="3"/>
  <c r="AZ270" i="3" s="1"/>
  <c r="BA271" i="3"/>
  <c r="AZ271" i="3" s="1"/>
  <c r="BL273" i="3"/>
  <c r="AZ273" i="3"/>
  <c r="BA274" i="3"/>
  <c r="AZ274" i="3" s="1"/>
  <c r="BA275" i="3"/>
  <c r="AZ275" i="3" s="1"/>
  <c r="G278" i="3"/>
  <c r="BL278" i="3"/>
  <c r="BL280" i="3"/>
  <c r="AZ280" i="3" s="1"/>
  <c r="BA282" i="3"/>
  <c r="AZ282" i="3" s="1"/>
  <c r="BA283" i="3"/>
  <c r="AZ283" i="3"/>
  <c r="BA285" i="3"/>
  <c r="AZ285" i="3" s="1"/>
  <c r="BA286" i="3"/>
  <c r="AZ286" i="3" s="1"/>
  <c r="BA287" i="3"/>
  <c r="AZ287" i="3" s="1"/>
  <c r="BA288" i="3"/>
  <c r="AZ288" i="3"/>
  <c r="G291" i="3"/>
  <c r="G292" i="3"/>
  <c r="BL292" i="3"/>
  <c r="AZ292" i="3"/>
  <c r="BA293" i="3"/>
  <c r="BL295" i="3"/>
  <c r="AZ295" i="3" s="1"/>
  <c r="BL297" i="3"/>
  <c r="AZ297" i="3" s="1"/>
  <c r="G299" i="3"/>
  <c r="G300" i="3"/>
  <c r="BL300" i="3"/>
  <c r="G302" i="3"/>
  <c r="BL302" i="3"/>
  <c r="BL113" i="3"/>
  <c r="AZ113" i="3" s="1"/>
  <c r="G116" i="3"/>
  <c r="BA117" i="3"/>
  <c r="AZ117" i="3"/>
  <c r="G120" i="3"/>
  <c r="G123" i="3"/>
  <c r="BA125" i="3"/>
  <c r="AZ125" i="3"/>
  <c r="G128" i="3"/>
  <c r="BL130" i="3"/>
  <c r="AZ130" i="3"/>
  <c r="BA132" i="3"/>
  <c r="AZ132" i="3" s="1"/>
  <c r="G134" i="3"/>
  <c r="BL134" i="3"/>
  <c r="AZ134" i="3"/>
  <c r="BA136" i="3"/>
  <c r="AZ136" i="3" s="1"/>
  <c r="BL137" i="3"/>
  <c r="AZ137" i="3" s="1"/>
  <c r="G140" i="3"/>
  <c r="BL142" i="3"/>
  <c r="AZ142" i="3"/>
  <c r="BA144" i="3"/>
  <c r="AZ144" i="3"/>
  <c r="BL145" i="3"/>
  <c r="AZ145" i="3"/>
  <c r="G148" i="3"/>
  <c r="BA149" i="3"/>
  <c r="AZ149" i="3" s="1"/>
  <c r="BA150" i="3"/>
  <c r="AZ150" i="3"/>
  <c r="BL151" i="3"/>
  <c r="AZ151" i="3" s="1"/>
  <c r="BA153" i="3"/>
  <c r="AZ153" i="3" s="1"/>
  <c r="BA154" i="3"/>
  <c r="AZ154" i="3" s="1"/>
  <c r="BL155" i="3"/>
  <c r="AZ155" i="3"/>
  <c r="BL158" i="3"/>
  <c r="AZ158" i="3" s="1"/>
  <c r="BA160" i="3"/>
  <c r="AZ160" i="3" s="1"/>
  <c r="BL161" i="3"/>
  <c r="G164" i="3"/>
  <c r="BA165" i="3"/>
  <c r="AZ165" i="3" s="1"/>
  <c r="BA166" i="3"/>
  <c r="AZ166" i="3" s="1"/>
  <c r="BL167" i="3"/>
  <c r="AZ167" i="3"/>
  <c r="BA169" i="3"/>
  <c r="AZ169" i="3" s="1"/>
  <c r="BA170" i="3"/>
  <c r="AZ170" i="3" s="1"/>
  <c r="BL171" i="3"/>
  <c r="AZ171" i="3" s="1"/>
  <c r="BL174" i="3"/>
  <c r="AZ174" i="3"/>
  <c r="BA176" i="3"/>
  <c r="AZ176" i="3"/>
  <c r="BL177" i="3"/>
  <c r="G180" i="3"/>
  <c r="BA181" i="3"/>
  <c r="AZ181" i="3"/>
  <c r="BA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BL206" i="3"/>
  <c r="AZ206" i="3" s="1"/>
  <c r="BA207" i="3"/>
  <c r="AZ207" i="3"/>
  <c r="BL19" i="3"/>
  <c r="AZ19" i="3" s="1"/>
  <c r="BL21" i="3"/>
  <c r="AZ21" i="3" s="1"/>
  <c r="BA22" i="3"/>
  <c r="AZ22" i="3" s="1"/>
  <c r="BL24" i="3"/>
  <c r="BA25" i="3"/>
  <c r="AZ25" i="3" s="1"/>
  <c r="BA26" i="3"/>
  <c r="BL28" i="3"/>
  <c r="AZ28" i="3" s="1"/>
  <c r="G31" i="3"/>
  <c r="G32" i="3"/>
  <c r="G33" i="3"/>
  <c r="G34" i="3"/>
  <c r="BL34" i="3"/>
  <c r="G37" i="3"/>
  <c r="G38" i="3"/>
  <c r="BL38" i="3"/>
  <c r="BA40" i="3"/>
  <c r="AZ40" i="3" s="1"/>
  <c r="BA41" i="3"/>
  <c r="AZ41" i="3"/>
  <c r="BA42" i="3"/>
  <c r="AZ42" i="3" s="1"/>
  <c r="BA43" i="3"/>
  <c r="AZ108" i="3"/>
  <c r="B100" i="43"/>
  <c r="B77" i="43"/>
  <c r="B68" i="43"/>
  <c r="C29" i="39"/>
  <c r="AA25" i="71"/>
  <c r="AA27" i="71"/>
  <c r="E28" i="71"/>
  <c r="AA26" i="71"/>
  <c r="Y30" i="71"/>
  <c r="Z30" i="71" s="1"/>
  <c r="Y29" i="71"/>
  <c r="Z29" i="71" s="1"/>
  <c r="X31" i="71"/>
  <c r="X32" i="71"/>
  <c r="X28" i="71"/>
  <c r="Y34" i="71"/>
  <c r="Z34" i="71"/>
  <c r="Y33" i="71"/>
  <c r="Z33" i="71"/>
  <c r="AB34" i="71"/>
  <c r="AB33" i="71"/>
  <c r="X34" i="71"/>
  <c r="X36" i="71"/>
  <c r="Y38" i="71"/>
  <c r="Z38" i="71" s="1"/>
  <c r="Y37" i="71"/>
  <c r="Z37" i="71"/>
  <c r="AB38" i="71"/>
  <c r="AB37" i="71"/>
  <c r="D42" i="71"/>
  <c r="C43" i="71"/>
  <c r="D43" i="71" s="1"/>
  <c r="D50" i="71"/>
  <c r="C51" i="71"/>
  <c r="C55" i="71"/>
  <c r="D54" i="71"/>
  <c r="C63" i="71"/>
  <c r="D62" i="71"/>
  <c r="S68" i="71"/>
  <c r="N68" i="71"/>
  <c r="T72" i="71"/>
  <c r="C71" i="71"/>
  <c r="D72" i="71"/>
  <c r="U76" i="71"/>
  <c r="E75" i="71"/>
  <c r="E74" i="71" s="1"/>
  <c r="T80" i="71"/>
  <c r="C79" i="71"/>
  <c r="D80" i="71"/>
  <c r="G44" i="3"/>
  <c r="BL44" i="3"/>
  <c r="G47" i="3"/>
  <c r="G48" i="3"/>
  <c r="BL48" i="3"/>
  <c r="BA49" i="3"/>
  <c r="AZ49" i="3"/>
  <c r="BA50" i="3"/>
  <c r="AZ50" i="3"/>
  <c r="BA51" i="3"/>
  <c r="AZ51" i="3"/>
  <c r="BL53" i="3"/>
  <c r="AZ53" i="3"/>
  <c r="G55" i="3"/>
  <c r="G56" i="3"/>
  <c r="BL56" i="3"/>
  <c r="G58" i="3"/>
  <c r="G59" i="3"/>
  <c r="G60" i="3"/>
  <c r="BL60" i="3"/>
  <c r="G63" i="3"/>
  <c r="G64" i="3"/>
  <c r="BL64" i="3"/>
  <c r="AZ64" i="3" s="1"/>
  <c r="BA65" i="3"/>
  <c r="AZ65" i="3"/>
  <c r="BA66" i="3"/>
  <c r="AZ66" i="3"/>
  <c r="BA67" i="3"/>
  <c r="AZ67" i="3"/>
  <c r="BL69" i="3"/>
  <c r="AZ69" i="3"/>
  <c r="G71" i="3"/>
  <c r="G72" i="3"/>
  <c r="G73" i="3"/>
  <c r="BL73" i="3"/>
  <c r="AZ73" i="3" s="1"/>
  <c r="BL75" i="3"/>
  <c r="AZ75" i="3"/>
  <c r="G77" i="3"/>
  <c r="G78" i="3"/>
  <c r="BL78" i="3"/>
  <c r="BL80" i="3"/>
  <c r="G82" i="3"/>
  <c r="G83" i="3"/>
  <c r="G84" i="3"/>
  <c r="G85" i="3"/>
  <c r="G86" i="3"/>
  <c r="G87" i="3"/>
  <c r="BL87" i="3"/>
  <c r="BL89" i="3"/>
  <c r="AZ89" i="3"/>
  <c r="G91" i="3"/>
  <c r="BL91" i="3"/>
  <c r="AZ91" i="3" s="1"/>
  <c r="G93" i="3"/>
  <c r="G94" i="3"/>
  <c r="G95" i="3"/>
  <c r="BL95" i="3"/>
  <c r="AZ95" i="3" s="1"/>
  <c r="G97" i="3"/>
  <c r="G98" i="3"/>
  <c r="BL98" i="3"/>
  <c r="G100" i="3"/>
  <c r="BL100" i="3"/>
  <c r="BL102" i="3"/>
  <c r="AZ102" i="3" s="1"/>
  <c r="G104" i="3"/>
  <c r="BL104" i="3"/>
  <c r="G107" i="3"/>
  <c r="G108" i="3"/>
  <c r="BL108" i="3"/>
  <c r="BL110" i="3"/>
  <c r="AZ110" i="3" s="1"/>
  <c r="BA112" i="3"/>
  <c r="AZ112" i="3"/>
  <c r="C31" i="71"/>
  <c r="C28" i="71"/>
  <c r="Y28" i="71"/>
  <c r="Z28" i="71"/>
  <c r="X29" i="71"/>
  <c r="X27" i="71"/>
  <c r="X30" i="71"/>
  <c r="Y32" i="71"/>
  <c r="Z32" i="71"/>
  <c r="AB32" i="71"/>
  <c r="X33" i="71"/>
  <c r="Y36" i="71"/>
  <c r="Z36" i="71"/>
  <c r="AB36" i="71"/>
  <c r="E38" i="71"/>
  <c r="E39" i="71"/>
  <c r="E40" i="71"/>
  <c r="U40" i="71" s="1"/>
  <c r="AA34" i="71"/>
  <c r="AA35" i="71"/>
  <c r="AA36" i="71"/>
  <c r="B63" i="71"/>
  <c r="B64" i="71" s="1"/>
  <c r="S64" i="71"/>
  <c r="X25" i="71"/>
  <c r="E23" i="71"/>
  <c r="E22" i="71" s="1"/>
  <c r="E21" i="71" s="1"/>
  <c r="E20" i="71" s="1"/>
  <c r="V20" i="71" s="1"/>
  <c r="V24" i="71"/>
  <c r="F22" i="71"/>
  <c r="F21" i="71"/>
  <c r="F20" i="71" s="1"/>
  <c r="F19" i="71" s="1"/>
  <c r="F18" i="71" s="1"/>
  <c r="F17" i="71" s="1"/>
  <c r="F16" i="71" s="1"/>
  <c r="F15" i="71" s="1"/>
  <c r="F14" i="71" s="1"/>
  <c r="F13" i="71" s="1"/>
  <c r="F12" i="71" s="1"/>
  <c r="F11" i="71" s="1"/>
  <c r="F10" i="71" s="1"/>
  <c r="F9" i="71" s="1"/>
  <c r="F8" i="71" s="1"/>
  <c r="F7" i="71" s="1"/>
  <c r="F6" i="71" s="1"/>
  <c r="F5" i="71" s="1"/>
  <c r="F31" i="71"/>
  <c r="F32" i="71" s="1"/>
  <c r="V32" i="71" s="1"/>
  <c r="F35" i="71"/>
  <c r="F36" i="71" s="1"/>
  <c r="V36" i="71" s="1"/>
  <c r="F39" i="71"/>
  <c r="F40" i="71"/>
  <c r="V40" i="71" s="1"/>
  <c r="B59" i="71"/>
  <c r="B60" i="71" s="1"/>
  <c r="S60" i="71" s="1"/>
  <c r="H43" i="21"/>
  <c r="AB43" i="21" s="1"/>
  <c r="F43" i="21"/>
  <c r="AA43" i="21" s="1"/>
  <c r="H42" i="21"/>
  <c r="U42" i="21" s="1"/>
  <c r="AA29" i="21"/>
  <c r="AC29" i="21"/>
  <c r="W29" i="21"/>
  <c r="H29" i="21"/>
  <c r="J42" i="21"/>
  <c r="AC42" i="21" s="1"/>
  <c r="F42" i="21"/>
  <c r="S42" i="21" s="1"/>
  <c r="AB38" i="21"/>
  <c r="I89" i="21"/>
  <c r="J89" i="21"/>
  <c r="K89" i="21"/>
  <c r="L89" i="21" s="1"/>
  <c r="M89" i="21" s="1"/>
  <c r="F26" i="21"/>
  <c r="H26" i="21"/>
  <c r="AB26" i="21"/>
  <c r="AC26" i="21"/>
  <c r="U26" i="21"/>
  <c r="AB25" i="21"/>
  <c r="AC40" i="21"/>
  <c r="AB39" i="21"/>
  <c r="AA38" i="21"/>
  <c r="U35" i="21"/>
  <c r="S34" i="21"/>
  <c r="S44" i="21"/>
  <c r="H23" i="21"/>
  <c r="U23" i="21" s="1"/>
  <c r="AB21" i="21"/>
  <c r="AC21" i="21"/>
  <c r="S19" i="21"/>
  <c r="U17" i="21"/>
  <c r="AA15" i="21"/>
  <c r="AB15" i="21"/>
  <c r="AB13" i="21"/>
  <c r="U13" i="21"/>
  <c r="S12" i="21"/>
  <c r="AA12" i="21"/>
  <c r="F13" i="21"/>
  <c r="J13" i="21"/>
  <c r="H12" i="21"/>
  <c r="S9" i="21"/>
  <c r="AA9" i="21"/>
  <c r="J9" i="21"/>
  <c r="A118" i="9"/>
  <c r="M20" i="67"/>
  <c r="F34" i="15"/>
  <c r="F62" i="15"/>
  <c r="F34" i="67"/>
  <c r="F62" i="67" s="1"/>
  <c r="B41" i="1"/>
  <c r="G26" i="12"/>
  <c r="G22" i="69"/>
  <c r="E19" i="71"/>
  <c r="E18" i="71" s="1"/>
  <c r="E17" i="71" s="1"/>
  <c r="E16" i="71" s="1"/>
  <c r="M23" i="43" s="1"/>
  <c r="AB43" i="33"/>
  <c r="AZ495" i="3"/>
  <c r="AZ513" i="3"/>
  <c r="AZ555" i="3"/>
  <c r="W11" i="35"/>
  <c r="AC11" i="35"/>
  <c r="BL585" i="3"/>
  <c r="AZ585" i="3" s="1"/>
  <c r="H28" i="21"/>
  <c r="AB28" i="21" s="1"/>
  <c r="H31" i="21"/>
  <c r="J31" i="21"/>
  <c r="F31" i="21"/>
  <c r="S31" i="21" s="1"/>
  <c r="AB35" i="33"/>
  <c r="U35" i="33"/>
  <c r="AA38" i="33"/>
  <c r="S38" i="33"/>
  <c r="AC39" i="33"/>
  <c r="W39" i="33"/>
  <c r="AB34" i="35"/>
  <c r="U34" i="35"/>
  <c r="H23" i="35"/>
  <c r="F23" i="35"/>
  <c r="U9" i="36"/>
  <c r="J12" i="36"/>
  <c r="H12" i="36"/>
  <c r="F12" i="36"/>
  <c r="J24" i="36"/>
  <c r="F24" i="36"/>
  <c r="H24" i="36"/>
  <c r="AB31" i="36"/>
  <c r="U31" i="36"/>
  <c r="H25" i="37"/>
  <c r="J25" i="37"/>
  <c r="F25" i="37"/>
  <c r="U8" i="39"/>
  <c r="AB8" i="39"/>
  <c r="AC40" i="39"/>
  <c r="W40" i="39"/>
  <c r="F14" i="39"/>
  <c r="AA14" i="39" s="1"/>
  <c r="J14" i="39"/>
  <c r="AC14" i="39"/>
  <c r="AC23" i="39"/>
  <c r="W23" i="39"/>
  <c r="H31" i="39"/>
  <c r="F31" i="39"/>
  <c r="J31" i="39"/>
  <c r="J32" i="40"/>
  <c r="W32" i="40" s="1"/>
  <c r="F32" i="40"/>
  <c r="H32" i="40"/>
  <c r="AB31" i="35"/>
  <c r="U31" i="35"/>
  <c r="F36" i="39"/>
  <c r="H36" i="39"/>
  <c r="U36" i="39" s="1"/>
  <c r="J36" i="39"/>
  <c r="BL584" i="3"/>
  <c r="AZ584" i="3" s="1"/>
  <c r="BL583" i="3"/>
  <c r="BA583" i="3"/>
  <c r="BA582" i="3"/>
  <c r="AZ582" i="3" s="1"/>
  <c r="BA581" i="3"/>
  <c r="AZ581" i="3" s="1"/>
  <c r="BA580" i="3"/>
  <c r="AZ580" i="3" s="1"/>
  <c r="BA579" i="3"/>
  <c r="AZ579" i="3"/>
  <c r="BL578" i="3"/>
  <c r="BL569" i="3"/>
  <c r="BA569" i="3"/>
  <c r="BL568" i="3"/>
  <c r="AZ568" i="3" s="1"/>
  <c r="BA568" i="3"/>
  <c r="BA567" i="3"/>
  <c r="BA566" i="3"/>
  <c r="AZ566" i="3" s="1"/>
  <c r="BL565" i="3"/>
  <c r="AZ565" i="3"/>
  <c r="BA564" i="3"/>
  <c r="BA563" i="3"/>
  <c r="AZ563" i="3" s="1"/>
  <c r="BL562" i="3"/>
  <c r="BA562" i="3"/>
  <c r="AZ562" i="3"/>
  <c r="BL554" i="3"/>
  <c r="AZ554" i="3"/>
  <c r="BL553" i="3"/>
  <c r="BA553" i="3"/>
  <c r="BL552" i="3"/>
  <c r="BA552" i="3"/>
  <c r="BL550" i="3"/>
  <c r="AZ550" i="3"/>
  <c r="BL549" i="3"/>
  <c r="BA549" i="3"/>
  <c r="AZ549" i="3" s="1"/>
  <c r="BL548" i="3"/>
  <c r="AZ548" i="3" s="1"/>
  <c r="D19" i="53"/>
  <c r="B38" i="72" s="1"/>
  <c r="D16" i="53"/>
  <c r="B34" i="72"/>
  <c r="W17" i="21"/>
  <c r="AZ362" i="3"/>
  <c r="S41" i="34"/>
  <c r="AA41" i="34"/>
  <c r="S25" i="21"/>
  <c r="AA25" i="21"/>
  <c r="AZ557" i="3"/>
  <c r="AZ517" i="3"/>
  <c r="AA26" i="33"/>
  <c r="S26" i="33"/>
  <c r="J26" i="33"/>
  <c r="H26" i="33"/>
  <c r="AC9" i="34"/>
  <c r="W9" i="34"/>
  <c r="J27" i="34"/>
  <c r="F27" i="34"/>
  <c r="AC31" i="37"/>
  <c r="W31" i="37"/>
  <c r="AB14" i="37"/>
  <c r="U14" i="37"/>
  <c r="F28" i="37"/>
  <c r="J28" i="37"/>
  <c r="W28" i="37" s="1"/>
  <c r="H28" i="37"/>
  <c r="H38" i="37"/>
  <c r="J38" i="37"/>
  <c r="F38" i="37"/>
  <c r="AA38" i="37" s="1"/>
  <c r="J12" i="40"/>
  <c r="F12" i="40"/>
  <c r="H14" i="40"/>
  <c r="J14" i="40"/>
  <c r="AC14" i="40" s="1"/>
  <c r="F14" i="40"/>
  <c r="F38" i="40"/>
  <c r="J38" i="40"/>
  <c r="H38" i="40"/>
  <c r="AB38" i="40" s="1"/>
  <c r="U41" i="21"/>
  <c r="AB41" i="21"/>
  <c r="BA525" i="3"/>
  <c r="AZ525" i="3"/>
  <c r="BA524" i="3"/>
  <c r="AZ524" i="3" s="1"/>
  <c r="BL523" i="3"/>
  <c r="AZ523" i="3" s="1"/>
  <c r="BL522" i="3"/>
  <c r="BA522" i="3"/>
  <c r="BA521" i="3"/>
  <c r="AZ521" i="3" s="1"/>
  <c r="BL520" i="3"/>
  <c r="BL519" i="3"/>
  <c r="BA519" i="3"/>
  <c r="AZ519" i="3" s="1"/>
  <c r="BL518" i="3"/>
  <c r="BA518" i="3"/>
  <c r="BL516" i="3"/>
  <c r="BA516" i="3"/>
  <c r="AZ516" i="3" s="1"/>
  <c r="BL515" i="3"/>
  <c r="BA515" i="3"/>
  <c r="BL514" i="3"/>
  <c r="BA514" i="3"/>
  <c r="AZ514" i="3" s="1"/>
  <c r="BL512" i="3"/>
  <c r="BA512" i="3"/>
  <c r="BL511" i="3"/>
  <c r="BA511" i="3"/>
  <c r="AZ511" i="3" s="1"/>
  <c r="BL510" i="3"/>
  <c r="AZ510" i="3" s="1"/>
  <c r="BA509" i="3"/>
  <c r="AZ509" i="3" s="1"/>
  <c r="BL508" i="3"/>
  <c r="BA508" i="3"/>
  <c r="BL507" i="3"/>
  <c r="AZ507" i="3" s="1"/>
  <c r="BA506" i="3"/>
  <c r="AZ506" i="3" s="1"/>
  <c r="BA505" i="3"/>
  <c r="AZ505" i="3"/>
  <c r="BL503" i="3"/>
  <c r="AZ503" i="3" s="1"/>
  <c r="BL502" i="3"/>
  <c r="AZ502" i="3" s="1"/>
  <c r="BA502" i="3"/>
  <c r="BA501" i="3"/>
  <c r="AZ501" i="3" s="1"/>
  <c r="BL500" i="3"/>
  <c r="BA500" i="3"/>
  <c r="BL498" i="3"/>
  <c r="AZ498" i="3" s="1"/>
  <c r="BA497" i="3"/>
  <c r="BL496" i="3"/>
  <c r="BL494" i="3"/>
  <c r="BA494" i="3"/>
  <c r="AZ494" i="3" s="1"/>
  <c r="BA493" i="3"/>
  <c r="AZ532" i="3"/>
  <c r="BL586" i="3"/>
  <c r="BA586" i="3"/>
  <c r="J14" i="21"/>
  <c r="F14" i="21"/>
  <c r="H14" i="21"/>
  <c r="AB14" i="21" s="1"/>
  <c r="H30" i="21"/>
  <c r="F30" i="21"/>
  <c r="J30" i="21"/>
  <c r="J45" i="21"/>
  <c r="AC45" i="21" s="1"/>
  <c r="F45" i="21"/>
  <c r="AC33" i="33"/>
  <c r="W33" i="33"/>
  <c r="W12" i="34"/>
  <c r="AC12" i="34"/>
  <c r="U12" i="35"/>
  <c r="AB12" i="35"/>
  <c r="AC34" i="35"/>
  <c r="W34" i="35"/>
  <c r="J12" i="33"/>
  <c r="H12" i="33"/>
  <c r="H14" i="33"/>
  <c r="AB14" i="33" s="1"/>
  <c r="F14" i="33"/>
  <c r="J14" i="33"/>
  <c r="J44" i="33"/>
  <c r="F44" i="33"/>
  <c r="S44" i="33" s="1"/>
  <c r="J46" i="33"/>
  <c r="F46" i="33"/>
  <c r="H46" i="33"/>
  <c r="H13" i="34"/>
  <c r="AB13" i="34" s="1"/>
  <c r="F13" i="34"/>
  <c r="F29" i="34"/>
  <c r="H29" i="34"/>
  <c r="H31" i="34"/>
  <c r="F31" i="34"/>
  <c r="H45" i="34"/>
  <c r="AB45" i="34" s="1"/>
  <c r="J45" i="34"/>
  <c r="F45" i="34"/>
  <c r="H47" i="34"/>
  <c r="F47" i="34"/>
  <c r="AA47" i="34" s="1"/>
  <c r="F13" i="35"/>
  <c r="J13" i="35"/>
  <c r="H13" i="35"/>
  <c r="J25" i="35"/>
  <c r="F25" i="35"/>
  <c r="H25" i="35"/>
  <c r="J35" i="35"/>
  <c r="F35" i="35"/>
  <c r="H35" i="35"/>
  <c r="J26" i="37"/>
  <c r="H26" i="37"/>
  <c r="F26" i="37"/>
  <c r="H44" i="39"/>
  <c r="F44" i="39"/>
  <c r="J44" i="39"/>
  <c r="AC31" i="40"/>
  <c r="W31" i="40"/>
  <c r="J39" i="40"/>
  <c r="AC39" i="40" s="1"/>
  <c r="H39" i="40"/>
  <c r="AB34" i="37"/>
  <c r="U34" i="37"/>
  <c r="BL576" i="3"/>
  <c r="BA576" i="3"/>
  <c r="BA575" i="3"/>
  <c r="BA574" i="3"/>
  <c r="BA572" i="3"/>
  <c r="AZ572" i="3"/>
  <c r="BA571" i="3"/>
  <c r="AZ571" i="3" s="1"/>
  <c r="BL570" i="3"/>
  <c r="BA570" i="3"/>
  <c r="AZ570" i="3"/>
  <c r="BL560" i="3"/>
  <c r="BA560" i="3"/>
  <c r="AZ560" i="3" s="1"/>
  <c r="BA559" i="3"/>
  <c r="AZ559" i="3" s="1"/>
  <c r="BA551" i="3"/>
  <c r="AZ551" i="3"/>
  <c r="BL546" i="3"/>
  <c r="BA546" i="3"/>
  <c r="AZ546" i="3"/>
  <c r="BL540" i="3"/>
  <c r="AZ540" i="3" s="1"/>
  <c r="BL538" i="3"/>
  <c r="AZ538" i="3"/>
  <c r="BL530" i="3"/>
  <c r="AZ530" i="3" s="1"/>
  <c r="BA528" i="3"/>
  <c r="AZ528" i="3"/>
  <c r="BA526" i="3"/>
  <c r="AZ526" i="3" s="1"/>
  <c r="AZ404" i="3"/>
  <c r="AZ424" i="3"/>
  <c r="AZ429" i="3"/>
  <c r="AZ439" i="3"/>
  <c r="AZ475" i="3"/>
  <c r="AZ483" i="3"/>
  <c r="AZ409" i="3"/>
  <c r="AZ416" i="3"/>
  <c r="AZ420" i="3"/>
  <c r="AZ426" i="3"/>
  <c r="AZ448" i="3"/>
  <c r="AZ452" i="3"/>
  <c r="AZ468" i="3"/>
  <c r="AZ470" i="3"/>
  <c r="AZ479" i="3"/>
  <c r="AZ485" i="3"/>
  <c r="AZ211" i="3"/>
  <c r="AZ300" i="3"/>
  <c r="AZ141" i="3"/>
  <c r="AZ177" i="3"/>
  <c r="AZ34" i="3"/>
  <c r="AZ226" i="3"/>
  <c r="AZ246" i="3"/>
  <c r="AZ258" i="3"/>
  <c r="AZ267" i="3"/>
  <c r="AZ272" i="3"/>
  <c r="AZ284" i="3"/>
  <c r="AZ289" i="3"/>
  <c r="AZ44" i="3"/>
  <c r="AZ56" i="3"/>
  <c r="AZ78" i="3"/>
  <c r="AZ87" i="3"/>
  <c r="AZ98" i="3"/>
  <c r="AC21" i="37"/>
  <c r="U18" i="35"/>
  <c r="S21" i="37"/>
  <c r="U18" i="36"/>
  <c r="AB27" i="71"/>
  <c r="AA29" i="71"/>
  <c r="Y9" i="71"/>
  <c r="Z9" i="71" s="1"/>
  <c r="Y10" i="71"/>
  <c r="Z10" i="71" s="1"/>
  <c r="AA9" i="71"/>
  <c r="AA10" i="71"/>
  <c r="X24" i="71"/>
  <c r="AA24" i="71"/>
  <c r="Y23" i="71"/>
  <c r="Z23" i="71" s="1"/>
  <c r="AA22" i="71"/>
  <c r="X21" i="71"/>
  <c r="Y21" i="71"/>
  <c r="Z21" i="71" s="1"/>
  <c r="Y14" i="71"/>
  <c r="Z14" i="71"/>
  <c r="X9" i="71"/>
  <c r="X10" i="71"/>
  <c r="AB10" i="71"/>
  <c r="AB9" i="71"/>
  <c r="Y24" i="71"/>
  <c r="Z24" i="71" s="1"/>
  <c r="AB24" i="71"/>
  <c r="Y22" i="71"/>
  <c r="Z22" i="71"/>
  <c r="AB23" i="71"/>
  <c r="AB21" i="71"/>
  <c r="X18" i="71"/>
  <c r="Y17" i="71"/>
  <c r="Z17" i="71" s="1"/>
  <c r="AA18" i="71"/>
  <c r="AB18" i="71"/>
  <c r="X13" i="71"/>
  <c r="AA14" i="71"/>
  <c r="AA21" i="71"/>
  <c r="Y18" i="71"/>
  <c r="Z18" i="71"/>
  <c r="AB15" i="71"/>
  <c r="X17" i="71"/>
  <c r="AA17" i="71"/>
  <c r="AB17" i="71"/>
  <c r="AB11" i="71"/>
  <c r="AB14" i="71"/>
  <c r="Y12" i="71"/>
  <c r="Z12" i="71"/>
  <c r="Y13" i="71"/>
  <c r="Z13" i="71" s="1"/>
  <c r="AA11" i="71"/>
  <c r="AA13" i="71"/>
  <c r="X12" i="71"/>
  <c r="B67" i="71"/>
  <c r="C24" i="71"/>
  <c r="C23" i="71" s="1"/>
  <c r="C22" i="71" s="1"/>
  <c r="D22" i="71" s="1"/>
  <c r="AA23" i="71"/>
  <c r="X22" i="71"/>
  <c r="X15" i="71"/>
  <c r="AA15" i="71"/>
  <c r="AB12" i="71"/>
  <c r="AB13" i="71"/>
  <c r="Y11" i="71"/>
  <c r="Z11" i="71"/>
  <c r="AA12" i="71"/>
  <c r="X11" i="71"/>
  <c r="X14"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B11" i="21"/>
  <c r="C5" i="11"/>
  <c r="C4" i="12"/>
  <c r="I4" i="6"/>
  <c r="G3" i="43"/>
  <c r="N94" i="46" s="1"/>
  <c r="M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21" i="69"/>
  <c r="J84" i="43"/>
  <c r="J85" i="43"/>
  <c r="J86" i="43"/>
  <c r="J87" i="43"/>
  <c r="J88" i="43"/>
  <c r="J89" i="43"/>
  <c r="J90" i="43"/>
  <c r="D83" i="43"/>
  <c r="E83" i="43"/>
  <c r="B81" i="43" s="1"/>
  <c r="D66" i="43"/>
  <c r="D64" i="43"/>
  <c r="D62" i="43"/>
  <c r="D67" i="43"/>
  <c r="D65" i="43"/>
  <c r="D63" i="43"/>
  <c r="D69" i="43"/>
  <c r="D73" i="43"/>
  <c r="D75" i="43"/>
  <c r="E72" i="43" s="1"/>
  <c r="B70" i="43" s="1"/>
  <c r="C28" i="43" s="1"/>
  <c r="D79" i="43"/>
  <c r="D22" i="67"/>
  <c r="P6" i="1"/>
  <c r="P11" i="1"/>
  <c r="AZ13" i="3"/>
  <c r="O9" i="1"/>
  <c r="P9" i="1"/>
  <c r="O12" i="1"/>
  <c r="P12" i="1"/>
  <c r="O8" i="1"/>
  <c r="P8" i="1"/>
  <c r="H73" i="43"/>
  <c r="H90" i="43"/>
  <c r="I18" i="43"/>
  <c r="E17" i="43"/>
  <c r="C17" i="43"/>
  <c r="E26" i="43"/>
  <c r="H55" i="43"/>
  <c r="H86" i="43"/>
  <c r="H87" i="43"/>
  <c r="H89" i="43"/>
  <c r="H88" i="43"/>
  <c r="H84" i="43"/>
  <c r="C69"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20" i="53"/>
  <c r="B40" i="72" s="1"/>
  <c r="H76" i="43"/>
  <c r="H72" i="43"/>
  <c r="H63" i="43"/>
  <c r="H61" i="43"/>
  <c r="H53" i="43"/>
  <c r="H79" i="43"/>
  <c r="D17" i="53"/>
  <c r="B36" i="72" s="1"/>
  <c r="D124" i="9"/>
  <c r="D125" i="9"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F52" i="37"/>
  <c r="G52" i="37" s="1"/>
  <c r="H52" i="37"/>
  <c r="I52" i="37" s="1"/>
  <c r="J52" i="37" s="1"/>
  <c r="K52" i="37" s="1"/>
  <c r="L52" i="37" s="1"/>
  <c r="D9" i="53"/>
  <c r="B25" i="72" s="1"/>
  <c r="B24" i="72"/>
  <c r="K120" i="9"/>
  <c r="Y16" i="71"/>
  <c r="Z16" i="71" s="1"/>
  <c r="Y15" i="71"/>
  <c r="Z15" i="71" s="1"/>
  <c r="AA16" i="71"/>
  <c r="AB3" i="71"/>
  <c r="X16" i="71"/>
  <c r="AB16" i="71"/>
  <c r="Y3" i="71"/>
  <c r="Z3" i="71" s="1"/>
  <c r="AF3" i="71"/>
  <c r="I54" i="15"/>
  <c r="K1" i="73"/>
  <c r="I54" i="67"/>
  <c r="C27" i="67"/>
  <c r="F71" i="67"/>
  <c r="AC32" i="21"/>
  <c r="AZ586" i="3"/>
  <c r="AZ508" i="3"/>
  <c r="AZ512" i="3"/>
  <c r="AZ515" i="3"/>
  <c r="AZ518" i="3"/>
  <c r="AZ522" i="3"/>
  <c r="D31" i="71"/>
  <c r="C32" i="71"/>
  <c r="C70" i="71"/>
  <c r="D70" i="71" s="1"/>
  <c r="D71" i="71"/>
  <c r="D51" i="71"/>
  <c r="C52" i="71"/>
  <c r="T52" i="71" s="1"/>
  <c r="C44" i="71"/>
  <c r="D39" i="71"/>
  <c r="C40" i="71"/>
  <c r="T40" i="71" s="1"/>
  <c r="U27" i="40"/>
  <c r="AB27" i="40"/>
  <c r="AB30" i="33"/>
  <c r="U30" i="33"/>
  <c r="U27" i="33"/>
  <c r="AB27" i="33"/>
  <c r="AC9" i="33"/>
  <c r="W9" i="33"/>
  <c r="U13" i="39"/>
  <c r="AB13" i="39"/>
  <c r="AA24" i="35"/>
  <c r="S24" i="35"/>
  <c r="D121" i="9"/>
  <c r="D7" i="52"/>
  <c r="D6" i="52"/>
  <c r="U9" i="21"/>
  <c r="AB9" i="21"/>
  <c r="AZ573" i="3"/>
  <c r="AC9" i="36"/>
  <c r="W9" i="36"/>
  <c r="AB9" i="33"/>
  <c r="U9" i="33"/>
  <c r="M18" i="83"/>
  <c r="S17" i="21"/>
  <c r="C27" i="71"/>
  <c r="C26" i="71" s="1"/>
  <c r="D28" i="71"/>
  <c r="U28" i="71"/>
  <c r="T28" i="71"/>
  <c r="C78" i="71"/>
  <c r="D78" i="71"/>
  <c r="D79" i="71"/>
  <c r="D63" i="71"/>
  <c r="C64" i="71"/>
  <c r="C56" i="71"/>
  <c r="D56" i="71" s="1"/>
  <c r="D55" i="71"/>
  <c r="E27" i="71"/>
  <c r="E26" i="71" s="1"/>
  <c r="V28" i="71"/>
  <c r="AZ487" i="3"/>
  <c r="AZ481" i="3"/>
  <c r="AZ454" i="3"/>
  <c r="AZ422" i="3"/>
  <c r="S27" i="40"/>
  <c r="AC30" i="33"/>
  <c r="W30" i="33"/>
  <c r="AA27" i="33"/>
  <c r="S27" i="33"/>
  <c r="AC12" i="21"/>
  <c r="W12" i="21"/>
  <c r="AZ547" i="3"/>
  <c r="AZ558" i="3"/>
  <c r="AA9" i="36"/>
  <c r="S9" i="36"/>
  <c r="O6" i="1"/>
  <c r="U29" i="21"/>
  <c r="AB29" i="21"/>
  <c r="J26" i="43"/>
  <c r="N370" i="46"/>
  <c r="G26" i="43"/>
  <c r="S26" i="21"/>
  <c r="AA26" i="21"/>
  <c r="AB12" i="21"/>
  <c r="U12" i="21"/>
  <c r="S13" i="21"/>
  <c r="AA13" i="21"/>
  <c r="W13" i="21"/>
  <c r="AC13" i="21"/>
  <c r="AC9" i="21"/>
  <c r="W9" i="21"/>
  <c r="F48" i="9"/>
  <c r="O52" i="9"/>
  <c r="F32" i="15"/>
  <c r="F60" i="15"/>
  <c r="F52" i="9"/>
  <c r="F53" i="9"/>
  <c r="F30" i="11"/>
  <c r="C48" i="11" s="1"/>
  <c r="M18" i="67"/>
  <c r="F28" i="67"/>
  <c r="F28" i="15"/>
  <c r="B66" i="71"/>
  <c r="N66" i="71" s="1"/>
  <c r="N67" i="71"/>
  <c r="AB39" i="40"/>
  <c r="U39" i="40"/>
  <c r="W44" i="39"/>
  <c r="AC44" i="39"/>
  <c r="U44" i="39"/>
  <c r="AB44" i="39"/>
  <c r="AB26" i="37"/>
  <c r="U26" i="37"/>
  <c r="AB35" i="35"/>
  <c r="U35" i="35"/>
  <c r="AC35" i="35"/>
  <c r="W35" i="35"/>
  <c r="S25" i="35"/>
  <c r="AA25" i="35"/>
  <c r="U13" i="35"/>
  <c r="AB13" i="35"/>
  <c r="S13" i="35"/>
  <c r="AA13" i="35"/>
  <c r="S47" i="34"/>
  <c r="S45" i="34"/>
  <c r="AA45" i="34"/>
  <c r="U45" i="34"/>
  <c r="U31" i="34"/>
  <c r="AB31" i="34"/>
  <c r="AB29" i="34"/>
  <c r="U29" i="34"/>
  <c r="AA13" i="34"/>
  <c r="S13" i="34"/>
  <c r="U13" i="34"/>
  <c r="AA46" i="33"/>
  <c r="S46" i="33"/>
  <c r="AA44" i="33"/>
  <c r="W14" i="33"/>
  <c r="AC14" i="33"/>
  <c r="U14" i="33"/>
  <c r="AC12" i="33"/>
  <c r="W12" i="33"/>
  <c r="W45" i="21"/>
  <c r="S30" i="21"/>
  <c r="AA30" i="21"/>
  <c r="U14" i="21"/>
  <c r="W14" i="21"/>
  <c r="AC14" i="21"/>
  <c r="AC38" i="40"/>
  <c r="W38" i="40"/>
  <c r="AA14" i="40"/>
  <c r="S14" i="40"/>
  <c r="U14" i="40"/>
  <c r="AB14" i="40"/>
  <c r="AC12" i="40"/>
  <c r="W12" i="40"/>
  <c r="AC38" i="37"/>
  <c r="W38" i="37"/>
  <c r="AB28" i="37"/>
  <c r="U28" i="37"/>
  <c r="AA28" i="37"/>
  <c r="S28" i="37"/>
  <c r="W27" i="34"/>
  <c r="AC27" i="34"/>
  <c r="AC26" i="33"/>
  <c r="W26" i="33"/>
  <c r="AZ552" i="3"/>
  <c r="AZ553" i="3"/>
  <c r="AZ569" i="3"/>
  <c r="AZ583" i="3"/>
  <c r="AB36" i="39"/>
  <c r="AB32" i="40"/>
  <c r="U32" i="40"/>
  <c r="AC32" i="40"/>
  <c r="AA31" i="39"/>
  <c r="S31" i="39"/>
  <c r="AA25" i="37"/>
  <c r="S25" i="37"/>
  <c r="U25" i="37"/>
  <c r="AB25" i="37"/>
  <c r="S24" i="36"/>
  <c r="AA24" i="36"/>
  <c r="S12" i="36"/>
  <c r="AA12" i="36"/>
  <c r="W12" i="36"/>
  <c r="AC12" i="36"/>
  <c r="AC23" i="35"/>
  <c r="W23" i="35"/>
  <c r="AA31" i="21"/>
  <c r="AB31" i="21"/>
  <c r="U31" i="21"/>
  <c r="T24" i="71"/>
  <c r="D24" i="71"/>
  <c r="U24" i="71"/>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500" i="3"/>
  <c r="U38" i="40"/>
  <c r="S38" i="40"/>
  <c r="AA38" i="40"/>
  <c r="W14" i="40"/>
  <c r="S12" i="40"/>
  <c r="AA12" i="40"/>
  <c r="S38" i="37"/>
  <c r="AB38" i="37"/>
  <c r="U38" i="37"/>
  <c r="AC28" i="37"/>
  <c r="AA27" i="34"/>
  <c r="S27" i="34"/>
  <c r="U26" i="33"/>
  <c r="AB26" i="33"/>
  <c r="AC36" i="39"/>
  <c r="W36" i="39"/>
  <c r="S36" i="39"/>
  <c r="AA36" i="39"/>
  <c r="S32" i="40"/>
  <c r="AA32" i="40"/>
  <c r="W31" i="39"/>
  <c r="AC31" i="39"/>
  <c r="AB31" i="39"/>
  <c r="U31" i="39"/>
  <c r="S14" i="39"/>
  <c r="W25" i="37"/>
  <c r="AC25" i="37"/>
  <c r="AB24" i="36"/>
  <c r="U24" i="36"/>
  <c r="AC24" i="36"/>
  <c r="W24" i="36"/>
  <c r="U12" i="36"/>
  <c r="AB12" i="36"/>
  <c r="AA23" i="35"/>
  <c r="S23" i="35"/>
  <c r="U23" i="35"/>
  <c r="AB23" i="35"/>
  <c r="AC31" i="21"/>
  <c r="W31" i="21"/>
  <c r="E15" i="71"/>
  <c r="E14" i="71" s="1"/>
  <c r="E13" i="71"/>
  <c r="E12" i="71" s="1"/>
  <c r="V16" i="71"/>
  <c r="B116" i="43"/>
  <c r="B120" i="43" s="1"/>
  <c r="C120" i="43" s="1"/>
  <c r="Z7" i="43"/>
  <c r="E69" i="39"/>
  <c r="AA26" i="35"/>
  <c r="S26" i="35"/>
  <c r="AC26" i="35"/>
  <c r="W26" i="35"/>
  <c r="AB26" i="35"/>
  <c r="U26" i="35"/>
  <c r="C7" i="43"/>
  <c r="D10" i="52"/>
  <c r="D11" i="52"/>
  <c r="B7" i="74"/>
  <c r="C7" i="74"/>
  <c r="C32" i="67"/>
  <c r="C32" i="15"/>
  <c r="AE11" i="1"/>
  <c r="AE9" i="1"/>
  <c r="AE7" i="1"/>
  <c r="AE8" i="1"/>
  <c r="AE12" i="1"/>
  <c r="AE10" i="1"/>
  <c r="F67" i="39"/>
  <c r="F69" i="39" s="1"/>
  <c r="D64" i="71"/>
  <c r="T64" i="71"/>
  <c r="D26" i="71"/>
  <c r="D27" i="71"/>
  <c r="D44" i="71"/>
  <c r="T44" i="71"/>
  <c r="D32" i="71"/>
  <c r="T32" i="71"/>
  <c r="C30" i="11"/>
  <c r="N65" i="71"/>
  <c r="D23" i="71"/>
  <c r="AG11" i="1"/>
  <c r="AG9" i="1"/>
  <c r="AG10" i="1"/>
  <c r="AG8" i="1"/>
  <c r="AG12" i="1"/>
  <c r="AG7" i="1"/>
  <c r="AG6" i="1"/>
  <c r="S8" i="1"/>
  <c r="T8" i="1" s="1"/>
  <c r="E8" i="70"/>
  <c r="O14" i="1"/>
  <c r="D3" i="21"/>
  <c r="M18" i="9"/>
  <c r="B118" i="9"/>
  <c r="B1" i="74"/>
  <c r="C21" i="71"/>
  <c r="D21" i="71" s="1"/>
  <c r="S11" i="1"/>
  <c r="AQ11" i="1" s="1"/>
  <c r="E11" i="70"/>
  <c r="S9" i="1"/>
  <c r="T9" i="1" s="1"/>
  <c r="AR8" i="1"/>
  <c r="S7" i="1"/>
  <c r="T7" i="1" s="1"/>
  <c r="E7" i="70"/>
  <c r="S10" i="1"/>
  <c r="E10" i="70"/>
  <c r="S12" i="1"/>
  <c r="AR12" i="1" s="1"/>
  <c r="P14" i="1"/>
  <c r="C60" i="15"/>
  <c r="C60" i="67"/>
  <c r="C20" i="71"/>
  <c r="T20" i="71" s="1"/>
  <c r="E12" i="70"/>
  <c r="F34" i="11"/>
  <c r="F11" i="12"/>
  <c r="C23" i="12" s="1"/>
  <c r="E9" i="70"/>
  <c r="AR9" i="1"/>
  <c r="T11" i="1"/>
  <c r="T12" i="1"/>
  <c r="AQ10" i="1"/>
  <c r="T10" i="1"/>
  <c r="AR10" i="1"/>
  <c r="AQ7" i="1"/>
  <c r="C33" i="15"/>
  <c r="C33" i="67"/>
  <c r="R9" i="1"/>
  <c r="R11" i="1"/>
  <c r="R10" i="1"/>
  <c r="R8" i="1"/>
  <c r="R7" i="1"/>
  <c r="C19" i="71"/>
  <c r="D19" i="71" s="1"/>
  <c r="D20" i="71"/>
  <c r="U20" i="71" s="1"/>
  <c r="B2" i="74"/>
  <c r="D8" i="74" s="1"/>
  <c r="R12" i="1"/>
  <c r="C18" i="71"/>
  <c r="D18" i="71" s="1"/>
  <c r="C17" i="71"/>
  <c r="C16" i="71" s="1"/>
  <c r="C61" i="67"/>
  <c r="C34" i="67"/>
  <c r="C62" i="67"/>
  <c r="C62" i="15"/>
  <c r="C34" i="15"/>
  <c r="C61" i="15"/>
  <c r="B2" i="21"/>
  <c r="L46" i="67"/>
  <c r="B2" i="33"/>
  <c r="B2" i="36"/>
  <c r="B3" i="36" s="1"/>
  <c r="B2" i="35"/>
  <c r="B3" i="35" s="1"/>
  <c r="B2" i="37"/>
  <c r="B2" i="34"/>
  <c r="L46" i="15"/>
  <c r="B6" i="74"/>
  <c r="D6" i="74"/>
  <c r="F7" i="67"/>
  <c r="D5" i="73"/>
  <c r="F6" i="73"/>
  <c r="F5" i="73"/>
  <c r="F13" i="83"/>
  <c r="M24" i="83"/>
  <c r="D2" i="35"/>
  <c r="B10" i="76"/>
  <c r="M9" i="67"/>
  <c r="F8" i="67"/>
  <c r="M8" i="15"/>
  <c r="E8" i="76"/>
  <c r="AO13" i="1"/>
  <c r="E2" i="69"/>
  <c r="L47" i="15"/>
  <c r="D6" i="73"/>
  <c r="F27" i="69"/>
  <c r="F7" i="15"/>
  <c r="E13" i="76"/>
  <c r="M26" i="67"/>
  <c r="L48" i="83"/>
  <c r="E7" i="76"/>
  <c r="F38" i="83"/>
  <c r="F36" i="83"/>
  <c r="L48" i="67"/>
  <c r="M24" i="67"/>
  <c r="B12" i="76"/>
  <c r="F3" i="73"/>
  <c r="F8" i="83"/>
  <c r="C36" i="69"/>
  <c r="F16" i="67"/>
  <c r="F37" i="83"/>
  <c r="M9" i="15"/>
  <c r="M8" i="83"/>
  <c r="B13" i="76"/>
  <c r="M6" i="15"/>
  <c r="F7" i="73"/>
  <c r="J15" i="67"/>
  <c r="D7" i="73"/>
  <c r="AO7" i="1"/>
  <c r="J15" i="83"/>
  <c r="M22" i="83"/>
  <c r="D2" i="34"/>
  <c r="F9" i="15"/>
  <c r="M24" i="15"/>
  <c r="F40" i="67"/>
  <c r="M9" i="83"/>
  <c r="AO12" i="1"/>
  <c r="B7" i="76"/>
  <c r="M22" i="15"/>
  <c r="F40" i="83"/>
  <c r="M23" i="83"/>
  <c r="D34" i="9"/>
  <c r="E9" i="76"/>
  <c r="E11" i="76"/>
  <c r="F36" i="15"/>
  <c r="M6" i="83"/>
  <c r="F38" i="67"/>
  <c r="C76" i="83"/>
  <c r="M8" i="67"/>
  <c r="M22" i="67"/>
  <c r="E12" i="76"/>
  <c r="F6" i="15"/>
  <c r="D35" i="9"/>
  <c r="D9" i="69"/>
  <c r="M6" i="67"/>
  <c r="D2" i="36"/>
  <c r="M27" i="83"/>
  <c r="M28" i="15"/>
  <c r="B8" i="76"/>
  <c r="C76" i="15"/>
  <c r="D3" i="73"/>
  <c r="D2" i="33"/>
  <c r="F43" i="15"/>
  <c r="E10" i="76"/>
  <c r="M26" i="15"/>
  <c r="M27" i="67"/>
  <c r="L47" i="83"/>
  <c r="F40" i="15"/>
  <c r="F42" i="15"/>
  <c r="AO9" i="1"/>
  <c r="F13" i="15"/>
  <c r="F16" i="83"/>
  <c r="F20" i="31"/>
  <c r="F36" i="67"/>
  <c r="D2" i="37"/>
  <c r="M28" i="83"/>
  <c r="D4" i="73"/>
  <c r="M29" i="67"/>
  <c r="M29" i="83"/>
  <c r="F38" i="15"/>
  <c r="F26" i="15"/>
  <c r="AO10" i="1"/>
  <c r="M29" i="15"/>
  <c r="AO8" i="1"/>
  <c r="AO11" i="1"/>
  <c r="F13" i="67"/>
  <c r="F16" i="15"/>
  <c r="M23" i="67"/>
  <c r="L48" i="15"/>
  <c r="E2" i="68"/>
  <c r="B11" i="76"/>
  <c r="C76" i="67"/>
  <c r="B9" i="76"/>
  <c r="F37" i="15"/>
  <c r="F4" i="73"/>
  <c r="M28" i="67"/>
  <c r="M26" i="83"/>
  <c r="F37" i="67"/>
  <c r="M23" i="15"/>
  <c r="M27" i="15"/>
  <c r="F8" i="15"/>
  <c r="D2" i="21"/>
  <c r="L47" i="67"/>
  <c r="J15" i="15"/>
  <c r="J28" i="21" l="1"/>
  <c r="W28" i="21" s="1"/>
  <c r="E11" i="71"/>
  <c r="E10" i="71" s="1"/>
  <c r="E9" i="71" s="1"/>
  <c r="E8" i="71" s="1"/>
  <c r="E7" i="71" s="1"/>
  <c r="E6" i="71" s="1"/>
  <c r="E5" i="71" s="1"/>
  <c r="V12" i="71"/>
  <c r="C15" i="71"/>
  <c r="T16" i="71"/>
  <c r="D16" i="71"/>
  <c r="U16" i="71" s="1"/>
  <c r="D17" i="71"/>
  <c r="D7" i="74"/>
  <c r="AR7" i="1"/>
  <c r="AQ12" i="1"/>
  <c r="AR11" i="1"/>
  <c r="AQ8" i="1"/>
  <c r="G67" i="39"/>
  <c r="G121" i="43"/>
  <c r="H121" i="43" s="1"/>
  <c r="D52" i="71"/>
  <c r="D40" i="71"/>
  <c r="P16" i="1"/>
  <c r="C11" i="12" s="1"/>
  <c r="C12" i="12" s="1"/>
  <c r="E61" i="43"/>
  <c r="B59" i="43" s="1"/>
  <c r="D68" i="9"/>
  <c r="F32" i="67"/>
  <c r="F60" i="67" s="1"/>
  <c r="F31" i="12"/>
  <c r="F28" i="83"/>
  <c r="F30" i="69"/>
  <c r="F48" i="69" s="1"/>
  <c r="F32" i="83"/>
  <c r="F60" i="83" s="1"/>
  <c r="F30" i="68"/>
  <c r="F48" i="68" s="1"/>
  <c r="F54" i="9"/>
  <c r="M18" i="15"/>
  <c r="T56" i="71"/>
  <c r="AQ9" i="1"/>
  <c r="D12" i="52"/>
  <c r="D127" i="9"/>
  <c r="D13" i="52" s="1"/>
  <c r="AZ576" i="3"/>
  <c r="AZ493" i="3"/>
  <c r="AZ564" i="3"/>
  <c r="AZ418" i="3"/>
  <c r="AZ520" i="3"/>
  <c r="AZ381" i="3"/>
  <c r="AA15" i="39"/>
  <c r="S15" i="39"/>
  <c r="AA13" i="33"/>
  <c r="BQ5" i="3"/>
  <c r="AC14" i="37"/>
  <c r="W14" i="37"/>
  <c r="AC35" i="40"/>
  <c r="W35" i="40"/>
  <c r="U37" i="37"/>
  <c r="AB37" i="37"/>
  <c r="S30" i="34"/>
  <c r="AA30" i="34"/>
  <c r="S29" i="33"/>
  <c r="AA29" i="33"/>
  <c r="W44" i="21"/>
  <c r="AC44" i="21"/>
  <c r="AZ574" i="3"/>
  <c r="AZ543" i="3"/>
  <c r="AC27" i="33"/>
  <c r="W27" i="33"/>
  <c r="AC46" i="34"/>
  <c r="W17" i="33"/>
  <c r="AC17" i="33"/>
  <c r="W17" i="37"/>
  <c r="AC17" i="37"/>
  <c r="S39" i="40"/>
  <c r="AA39" i="40"/>
  <c r="AA11" i="39"/>
  <c r="S11" i="39"/>
  <c r="AB42" i="33"/>
  <c r="U42" i="33"/>
  <c r="AZ556" i="3"/>
  <c r="AC36" i="37"/>
  <c r="W36" i="37"/>
  <c r="U13" i="40"/>
  <c r="AB13" i="40"/>
  <c r="AC40" i="37"/>
  <c r="W40" i="37"/>
  <c r="S41" i="33"/>
  <c r="J33" i="40"/>
  <c r="F33" i="40"/>
  <c r="H33" i="40"/>
  <c r="AZ504" i="3"/>
  <c r="S27" i="37"/>
  <c r="U20" i="35"/>
  <c r="AB20" i="35"/>
  <c r="AZ312" i="3"/>
  <c r="S19" i="40"/>
  <c r="AA19" i="40"/>
  <c r="AC32" i="37"/>
  <c r="W32" i="37"/>
  <c r="S26" i="36"/>
  <c r="AA26" i="36"/>
  <c r="AA13" i="40"/>
  <c r="S13" i="40"/>
  <c r="AB14" i="39"/>
  <c r="U14" i="39"/>
  <c r="S30" i="33"/>
  <c r="AA30" i="33"/>
  <c r="W28" i="33"/>
  <c r="AC28" i="33"/>
  <c r="AA17" i="40"/>
  <c r="S17" i="40"/>
  <c r="B72" i="43"/>
  <c r="C15" i="39"/>
  <c r="U8" i="34"/>
  <c r="AB8" i="34"/>
  <c r="AB39" i="34"/>
  <c r="U39" i="34"/>
  <c r="W23" i="37"/>
  <c r="AC23" i="37"/>
  <c r="W15" i="21"/>
  <c r="AC15" i="21"/>
  <c r="AA32" i="39"/>
  <c r="S32" i="39"/>
  <c r="AC27" i="40"/>
  <c r="W27" i="40"/>
  <c r="U19" i="40"/>
  <c r="AB19" i="40"/>
  <c r="U35" i="34"/>
  <c r="AB35" i="34"/>
  <c r="AB36" i="37"/>
  <c r="U36" i="37"/>
  <c r="AC13" i="36"/>
  <c r="W13" i="36"/>
  <c r="AC44" i="34"/>
  <c r="W44" i="34"/>
  <c r="AB11" i="33"/>
  <c r="U11" i="33"/>
  <c r="AB15" i="40"/>
  <c r="U15" i="40"/>
  <c r="U17" i="34"/>
  <c r="AB17" i="34"/>
  <c r="AB40" i="40"/>
  <c r="U40" i="40"/>
  <c r="AB12" i="40"/>
  <c r="U12" i="40"/>
  <c r="BB5" i="3"/>
  <c r="BA578" i="3"/>
  <c r="AZ578" i="3" s="1"/>
  <c r="BL577" i="3"/>
  <c r="BA577" i="3"/>
  <c r="AZ577" i="3" s="1"/>
  <c r="BL575" i="3"/>
  <c r="AZ575" i="3" s="1"/>
  <c r="BM5" i="3"/>
  <c r="F29" i="6" s="1"/>
  <c r="BL497" i="3"/>
  <c r="AZ497" i="3" s="1"/>
  <c r="BR5" i="3"/>
  <c r="BN5" i="3"/>
  <c r="G29" i="6" s="1"/>
  <c r="BE5" i="3"/>
  <c r="BA496" i="3"/>
  <c r="AZ496" i="3" s="1"/>
  <c r="G496" i="3"/>
  <c r="AC5" i="3"/>
  <c r="W11" i="39"/>
  <c r="S44" i="34"/>
  <c r="AB46" i="34"/>
  <c r="AC30" i="36"/>
  <c r="W30" i="36"/>
  <c r="S19" i="37"/>
  <c r="AR13" i="1"/>
  <c r="W29" i="33"/>
  <c r="AA27" i="35"/>
  <c r="S27" i="35"/>
  <c r="AC28" i="36"/>
  <c r="W28" i="36"/>
  <c r="BL544" i="3"/>
  <c r="AZ544" i="3" s="1"/>
  <c r="B97" i="43"/>
  <c r="B75" i="43"/>
  <c r="H36" i="35"/>
  <c r="J36" i="35"/>
  <c r="BS5" i="3"/>
  <c r="H34" i="21"/>
  <c r="B73" i="43"/>
  <c r="S12" i="34"/>
  <c r="W41" i="21"/>
  <c r="AC41" i="21"/>
  <c r="G581" i="3"/>
  <c r="BL567" i="3"/>
  <c r="AZ567" i="3" s="1"/>
  <c r="G567" i="3"/>
  <c r="G548" i="3"/>
  <c r="G503" i="3"/>
  <c r="AZ411" i="3"/>
  <c r="J11" i="21"/>
  <c r="J34" i="21"/>
  <c r="H12" i="34"/>
  <c r="G582" i="3"/>
  <c r="BT5" i="3"/>
  <c r="AZ405" i="3"/>
  <c r="BI5" i="3"/>
  <c r="F23" i="36"/>
  <c r="BL428" i="3"/>
  <c r="AZ428" i="3" s="1"/>
  <c r="BA442" i="3"/>
  <c r="AZ442" i="3" s="1"/>
  <c r="BA476" i="3"/>
  <c r="AZ476" i="3" s="1"/>
  <c r="AZ478" i="3"/>
  <c r="BL486" i="3"/>
  <c r="AZ486" i="3" s="1"/>
  <c r="AZ367" i="3"/>
  <c r="AZ255" i="3"/>
  <c r="BL398" i="3"/>
  <c r="AZ398" i="3" s="1"/>
  <c r="BA406" i="3"/>
  <c r="AZ406" i="3" s="1"/>
  <c r="BL414" i="3"/>
  <c r="AZ414" i="3" s="1"/>
  <c r="BA457" i="3"/>
  <c r="AZ457" i="3" s="1"/>
  <c r="AZ458" i="3"/>
  <c r="BA459" i="3"/>
  <c r="AZ459" i="3" s="1"/>
  <c r="AZ460" i="3"/>
  <c r="BA461" i="3"/>
  <c r="AZ461" i="3" s="1"/>
  <c r="AZ462" i="3"/>
  <c r="AZ467" i="3"/>
  <c r="AZ469" i="3"/>
  <c r="BL312" i="3"/>
  <c r="AZ332" i="3"/>
  <c r="AZ208" i="3"/>
  <c r="BL403" i="3"/>
  <c r="AZ403" i="3" s="1"/>
  <c r="BL417" i="3"/>
  <c r="AZ417" i="3" s="1"/>
  <c r="AZ440" i="3"/>
  <c r="AZ472" i="3"/>
  <c r="AZ298" i="3"/>
  <c r="BL401" i="3"/>
  <c r="AZ401" i="3" s="1"/>
  <c r="BA408" i="3"/>
  <c r="AZ408" i="3" s="1"/>
  <c r="G412" i="3"/>
  <c r="G417" i="3"/>
  <c r="BL421" i="3"/>
  <c r="AZ421" i="3" s="1"/>
  <c r="AZ435" i="3"/>
  <c r="BA436" i="3"/>
  <c r="AZ436" i="3" s="1"/>
  <c r="AZ437" i="3"/>
  <c r="BL440" i="3"/>
  <c r="BA445" i="3"/>
  <c r="AZ445" i="3" s="1"/>
  <c r="AZ446" i="3"/>
  <c r="AZ447" i="3"/>
  <c r="AZ451" i="3"/>
  <c r="BL472" i="3"/>
  <c r="BA484" i="3"/>
  <c r="AZ484" i="3" s="1"/>
  <c r="BA489" i="3"/>
  <c r="AZ489" i="3" s="1"/>
  <c r="AZ492" i="3"/>
  <c r="AZ231" i="3"/>
  <c r="AZ122" i="3"/>
  <c r="AZ57" i="3"/>
  <c r="BA291" i="3"/>
  <c r="AZ291" i="3" s="1"/>
  <c r="G295" i="3"/>
  <c r="BA302" i="3"/>
  <c r="AZ302" i="3" s="1"/>
  <c r="AZ118" i="3"/>
  <c r="AZ129" i="3"/>
  <c r="BL157" i="3"/>
  <c r="AZ157" i="3" s="1"/>
  <c r="BA161" i="3"/>
  <c r="AZ161" i="3" s="1"/>
  <c r="AZ23" i="3"/>
  <c r="AZ30" i="3"/>
  <c r="AZ36" i="3"/>
  <c r="BA294" i="3"/>
  <c r="AZ294" i="3" s="1"/>
  <c r="BL122" i="3"/>
  <c r="BA128" i="3"/>
  <c r="AZ128" i="3" s="1"/>
  <c r="BL182" i="3"/>
  <c r="AZ182" i="3" s="1"/>
  <c r="BL189" i="3"/>
  <c r="AZ189" i="3" s="1"/>
  <c r="BA193" i="3"/>
  <c r="AZ193" i="3" s="1"/>
  <c r="BL293" i="3"/>
  <c r="AZ293" i="3" s="1"/>
  <c r="BA299" i="3"/>
  <c r="AZ299" i="3" s="1"/>
  <c r="BL114" i="3"/>
  <c r="AZ114" i="3" s="1"/>
  <c r="BA121" i="3"/>
  <c r="AZ121" i="3" s="1"/>
  <c r="BA126" i="3"/>
  <c r="AZ126" i="3" s="1"/>
  <c r="BL135" i="3"/>
  <c r="AZ135" i="3" s="1"/>
  <c r="BL138" i="3"/>
  <c r="AZ138" i="3" s="1"/>
  <c r="BA27" i="3"/>
  <c r="AZ27" i="3" s="1"/>
  <c r="BA38" i="3"/>
  <c r="AZ38" i="3" s="1"/>
  <c r="BA48" i="3"/>
  <c r="AZ48" i="3" s="1"/>
  <c r="BL52" i="3"/>
  <c r="AZ52" i="3" s="1"/>
  <c r="BL57" i="3"/>
  <c r="BL63" i="3"/>
  <c r="AZ63" i="3" s="1"/>
  <c r="BL72" i="3"/>
  <c r="AZ72" i="3" s="1"/>
  <c r="BA80" i="3"/>
  <c r="AZ80" i="3" s="1"/>
  <c r="BA92" i="3"/>
  <c r="AZ92" i="3" s="1"/>
  <c r="BA94" i="3"/>
  <c r="AZ94" i="3" s="1"/>
  <c r="BA97" i="3"/>
  <c r="AZ97" i="3" s="1"/>
  <c r="BA100" i="3"/>
  <c r="AZ100" i="3" s="1"/>
  <c r="BL103" i="3"/>
  <c r="AZ103" i="3" s="1"/>
  <c r="BL105" i="3"/>
  <c r="AZ105" i="3" s="1"/>
  <c r="BA111" i="3"/>
  <c r="AZ111" i="3" s="1"/>
  <c r="P65" i="71"/>
  <c r="P66" i="71"/>
  <c r="BL26" i="3"/>
  <c r="AZ26" i="3" s="1"/>
  <c r="BL33" i="3"/>
  <c r="AZ33" i="3" s="1"/>
  <c r="BL43" i="3"/>
  <c r="AZ43" i="3" s="1"/>
  <c r="BA62" i="3"/>
  <c r="AZ62" i="3" s="1"/>
  <c r="BA71" i="3"/>
  <c r="AZ71" i="3" s="1"/>
  <c r="G79" i="3"/>
  <c r="BL82" i="3"/>
  <c r="AZ82" i="3" s="1"/>
  <c r="BL84" i="3"/>
  <c r="AZ84" i="3" s="1"/>
  <c r="BL86" i="3"/>
  <c r="AZ86" i="3" s="1"/>
  <c r="BL88" i="3"/>
  <c r="AZ88" i="3" s="1"/>
  <c r="BA104" i="3"/>
  <c r="AZ104" i="3" s="1"/>
  <c r="W21" i="34"/>
  <c r="AC21" i="34"/>
  <c r="D66" i="71"/>
  <c r="O65" i="71"/>
  <c r="O66" i="71"/>
  <c r="C59" i="71"/>
  <c r="D58" i="71"/>
  <c r="BA24" i="3"/>
  <c r="G28" i="3"/>
  <c r="G5" i="3" s="1"/>
  <c r="B3" i="3" s="1"/>
  <c r="BL39" i="3"/>
  <c r="AZ39" i="3" s="1"/>
  <c r="G50" i="3"/>
  <c r="BA60" i="3"/>
  <c r="AZ60" i="3" s="1"/>
  <c r="G68" i="3"/>
  <c r="G76" i="3"/>
  <c r="AZ90" i="3"/>
  <c r="AC18" i="36"/>
  <c r="D87" i="71"/>
  <c r="D67" i="71"/>
  <c r="D75" i="71"/>
  <c r="T68" i="71"/>
  <c r="C47" i="71"/>
  <c r="D47" i="71" s="1"/>
  <c r="Y27" i="71"/>
  <c r="Z27" i="71" s="1"/>
  <c r="AA30" i="71"/>
  <c r="V76" i="71"/>
  <c r="B23" i="71"/>
  <c r="B22" i="71" s="1"/>
  <c r="B21" i="71" s="1"/>
  <c r="B20" i="71" s="1"/>
  <c r="D7" i="77"/>
  <c r="C26" i="77" s="1"/>
  <c r="C32" i="77" s="1"/>
  <c r="C38" i="77" s="1"/>
  <c r="C39" i="77" s="1"/>
  <c r="W29" i="39"/>
  <c r="AA25" i="40"/>
  <c r="C5" i="68"/>
  <c r="E79" i="71"/>
  <c r="E78" i="71" s="1"/>
  <c r="D68" i="71"/>
  <c r="B28" i="71"/>
  <c r="C34" i="71"/>
  <c r="AB30" i="71"/>
  <c r="R14" i="77"/>
  <c r="S18" i="35"/>
  <c r="D83" i="71"/>
  <c r="E71" i="71"/>
  <c r="E70" i="71" s="1"/>
  <c r="AA38" i="71"/>
  <c r="AA31" i="71"/>
  <c r="Y35" i="71"/>
  <c r="Z35" i="71" s="1"/>
  <c r="F67" i="71"/>
  <c r="D23" i="77"/>
  <c r="C29" i="77"/>
  <c r="C18" i="78"/>
  <c r="B15" i="78"/>
  <c r="V8" i="79"/>
  <c r="T5" i="79"/>
  <c r="W5" i="79" s="1"/>
  <c r="R5" i="79"/>
  <c r="T3" i="79"/>
  <c r="W3" i="79" s="1"/>
  <c r="S3" i="79"/>
  <c r="V3" i="79"/>
  <c r="V5" i="79"/>
  <c r="AD9" i="79"/>
  <c r="AA3" i="79"/>
  <c r="AD3" i="79" s="1"/>
  <c r="R10" i="79"/>
  <c r="R8" i="79"/>
  <c r="R11" i="79"/>
  <c r="R6" i="79"/>
  <c r="R9" i="79"/>
  <c r="T29" i="79"/>
  <c r="W29" i="79" s="1"/>
  <c r="T26" i="79"/>
  <c r="W26" i="79" s="1"/>
  <c r="T27" i="79"/>
  <c r="W27" i="79" s="1"/>
  <c r="P29" i="79"/>
  <c r="T31" i="79"/>
  <c r="W31" i="79" s="1"/>
  <c r="T30" i="79"/>
  <c r="W30" i="79" s="1"/>
  <c r="U32" i="79"/>
  <c r="U31" i="79"/>
  <c r="U29" i="79"/>
  <c r="AD31" i="79"/>
  <c r="AD33" i="79"/>
  <c r="AD32" i="79"/>
  <c r="S34" i="79"/>
  <c r="S33" i="79"/>
  <c r="U23" i="79"/>
  <c r="U28" i="79"/>
  <c r="N23" i="79"/>
  <c r="U25" i="79"/>
  <c r="P13" i="79"/>
  <c r="T13" i="79"/>
  <c r="W13" i="79" s="1"/>
  <c r="S11" i="79"/>
  <c r="S12" i="79"/>
  <c r="T35" i="79"/>
  <c r="W35" i="79" s="1"/>
  <c r="P35" i="79"/>
  <c r="S6" i="43"/>
  <c r="H116" i="43"/>
  <c r="F40" i="43"/>
  <c r="I21" i="43"/>
  <c r="D21" i="43"/>
  <c r="S5" i="43"/>
  <c r="F37" i="43"/>
  <c r="F41" i="43"/>
  <c r="K21" i="43"/>
  <c r="H21" i="43"/>
  <c r="S7" i="79"/>
  <c r="S8" i="79"/>
  <c r="G8" i="83"/>
  <c r="G25" i="78"/>
  <c r="L21" i="43"/>
  <c r="E21" i="43"/>
  <c r="S3" i="43"/>
  <c r="C27" i="43"/>
  <c r="S5" i="79"/>
  <c r="V9" i="79"/>
  <c r="T7" i="79"/>
  <c r="W7" i="79" s="1"/>
  <c r="U27" i="79"/>
  <c r="U30" i="79"/>
  <c r="O3" i="79"/>
  <c r="AC3" i="79"/>
  <c r="T6" i="79"/>
  <c r="W6" i="79" s="1"/>
  <c r="T8" i="79"/>
  <c r="W8" i="79" s="1"/>
  <c r="M3" i="79"/>
  <c r="P3" i="79" s="1"/>
  <c r="P9" i="79"/>
  <c r="T9" i="79"/>
  <c r="W9" i="79" s="1"/>
  <c r="V12" i="79"/>
  <c r="U10" i="79"/>
  <c r="U13" i="79"/>
  <c r="U9" i="79"/>
  <c r="U6" i="79"/>
  <c r="U11" i="79"/>
  <c r="U7" i="79"/>
  <c r="V7" i="79"/>
  <c r="F42" i="43"/>
  <c r="N21" i="43"/>
  <c r="R3" i="79"/>
  <c r="U8" i="79"/>
  <c r="R7" i="79"/>
  <c r="S26" i="79"/>
  <c r="T28" i="79"/>
  <c r="W28" i="79" s="1"/>
  <c r="S13" i="79"/>
  <c r="T33" i="79"/>
  <c r="W33" i="79" s="1"/>
  <c r="K3" i="79"/>
  <c r="U3" i="79"/>
  <c r="N3" i="79"/>
  <c r="U14" i="79"/>
  <c r="T23" i="79"/>
  <c r="W23" i="79" s="1"/>
  <c r="S27" i="79"/>
  <c r="S29" i="79"/>
  <c r="AD29" i="79"/>
  <c r="G13" i="1"/>
  <c r="I5" i="21"/>
  <c r="G5" i="21"/>
  <c r="W42" i="21"/>
  <c r="AB42" i="21"/>
  <c r="AA42" i="21"/>
  <c r="AA23" i="21"/>
  <c r="AB23" i="21"/>
  <c r="AC23" i="21"/>
  <c r="AC19" i="21"/>
  <c r="AA27" i="21"/>
  <c r="AC27" i="21"/>
  <c r="U27" i="21"/>
  <c r="AC28" i="21"/>
  <c r="S28" i="21"/>
  <c r="U28" i="21"/>
  <c r="W36" i="21"/>
  <c r="AA36" i="21"/>
  <c r="W43" i="21"/>
  <c r="U43" i="21"/>
  <c r="S43" i="21"/>
  <c r="AB44" i="21"/>
  <c r="AB40" i="21"/>
  <c r="AC37" i="21"/>
  <c r="S37" i="21"/>
  <c r="O16" i="1"/>
  <c r="D118" i="43"/>
  <c r="E118" i="43" s="1"/>
  <c r="F118" i="43" s="1"/>
  <c r="G118" i="43" s="1"/>
  <c r="H118" i="43" s="1"/>
  <c r="D122" i="43"/>
  <c r="E122" i="43" s="1"/>
  <c r="F122" i="43" s="1"/>
  <c r="G122" i="43" s="1"/>
  <c r="H122" i="43" s="1"/>
  <c r="D121" i="43"/>
  <c r="E121" i="43" s="1"/>
  <c r="F121" i="43" s="1"/>
  <c r="I120" i="43"/>
  <c r="J120" i="43" s="1"/>
  <c r="K120" i="43" s="1"/>
  <c r="L120" i="43" s="1"/>
  <c r="M120" i="43" s="1"/>
  <c r="I122" i="43"/>
  <c r="J122" i="43" s="1"/>
  <c r="K122" i="43" s="1"/>
  <c r="L122" i="43" s="1"/>
  <c r="M122" i="43" s="1"/>
  <c r="D120" i="43"/>
  <c r="E120" i="43" s="1"/>
  <c r="F120" i="43" s="1"/>
  <c r="G120" i="43" s="1"/>
  <c r="H120" i="43" s="1"/>
  <c r="I118" i="43"/>
  <c r="J118" i="43" s="1"/>
  <c r="K118" i="43" s="1"/>
  <c r="L118" i="43" s="1"/>
  <c r="M118" i="43" s="1"/>
  <c r="B121" i="43"/>
  <c r="C121" i="43" s="1"/>
  <c r="B118" i="43"/>
  <c r="B122" i="43"/>
  <c r="C122" i="43" s="1"/>
  <c r="I119" i="43"/>
  <c r="J119" i="43" s="1"/>
  <c r="K119" i="43" s="1"/>
  <c r="L119" i="43" s="1"/>
  <c r="M119" i="43" s="1"/>
  <c r="B119" i="43"/>
  <c r="C119" i="43" s="1"/>
  <c r="D119" i="43"/>
  <c r="E119" i="43" s="1"/>
  <c r="F119" i="43" s="1"/>
  <c r="G119" i="43" s="1"/>
  <c r="H119" i="43" s="1"/>
  <c r="I121" i="43"/>
  <c r="J121" i="43" s="1"/>
  <c r="K121" i="43" s="1"/>
  <c r="L121" i="43" s="1"/>
  <c r="M121" i="43" s="1"/>
  <c r="E13" i="6"/>
  <c r="E14" i="6"/>
  <c r="E11" i="6"/>
  <c r="E5" i="6"/>
  <c r="M11" i="1"/>
  <c r="Q16" i="1"/>
  <c r="H26" i="43"/>
  <c r="F26" i="43"/>
  <c r="D26" i="43" s="1"/>
  <c r="C25" i="43" s="1"/>
  <c r="H16" i="1"/>
  <c r="C33" i="21"/>
  <c r="M52" i="37"/>
  <c r="N52" i="37" s="1"/>
  <c r="O52" i="37" s="1"/>
  <c r="I24" i="43"/>
  <c r="C24" i="43" s="1"/>
  <c r="G6" i="1"/>
  <c r="G16" i="1" s="1"/>
  <c r="J51" i="15"/>
  <c r="J53" i="15" s="1"/>
  <c r="M47" i="9"/>
  <c r="C7" i="33"/>
  <c r="C58" i="33" s="1"/>
  <c r="C42" i="1"/>
  <c r="C7" i="34"/>
  <c r="C59" i="34" s="1"/>
  <c r="J51" i="83"/>
  <c r="N59" i="83" s="1"/>
  <c r="C7" i="78"/>
  <c r="D7" i="78" s="1"/>
  <c r="C7" i="40"/>
  <c r="C63" i="40" s="1"/>
  <c r="C6" i="78"/>
  <c r="D6" i="78" s="1"/>
  <c r="G23" i="43"/>
  <c r="C7" i="21"/>
  <c r="C58" i="21" s="1"/>
  <c r="C7" i="35"/>
  <c r="C48" i="35" s="1"/>
  <c r="C7" i="36"/>
  <c r="C46" i="36" s="1"/>
  <c r="F13" i="49"/>
  <c r="H13" i="49" s="1"/>
  <c r="F11" i="49"/>
  <c r="H11" i="49" s="1"/>
  <c r="B14" i="49"/>
  <c r="D14" i="49" s="1"/>
  <c r="B6" i="49"/>
  <c r="D6" i="49" s="1"/>
  <c r="C15" i="12"/>
  <c r="F7" i="49"/>
  <c r="H7" i="49" s="1"/>
  <c r="B13" i="49"/>
  <c r="D13" i="49" s="1"/>
  <c r="F14" i="49"/>
  <c r="H14" i="49" s="1"/>
  <c r="F5" i="49"/>
  <c r="H5" i="49" s="1"/>
  <c r="B9" i="49"/>
  <c r="D9" i="49" s="1"/>
  <c r="F9" i="49"/>
  <c r="H9" i="49" s="1"/>
  <c r="B10" i="49"/>
  <c r="D10" i="49" s="1"/>
  <c r="B5" i="49"/>
  <c r="D5" i="49" s="1"/>
  <c r="B10" i="70"/>
  <c r="B11" i="70"/>
  <c r="B9" i="70"/>
  <c r="B7" i="70"/>
  <c r="B8" i="70"/>
  <c r="F68" i="83"/>
  <c r="F68" i="15"/>
  <c r="M7" i="67"/>
  <c r="J6" i="67" s="1"/>
  <c r="F31" i="67"/>
  <c r="F50" i="67"/>
  <c r="J57" i="15"/>
  <c r="J55" i="15" s="1"/>
  <c r="J58" i="15" s="1"/>
  <c r="Q50" i="15" s="1"/>
  <c r="J60" i="15"/>
  <c r="Q48" i="15" s="1"/>
  <c r="L60" i="15"/>
  <c r="B12" i="70"/>
  <c r="Q71" i="83"/>
  <c r="F31" i="83"/>
  <c r="F51" i="83"/>
  <c r="C6" i="83"/>
  <c r="L58" i="83"/>
  <c r="L59" i="83"/>
  <c r="F65" i="83"/>
  <c r="F64" i="67"/>
  <c r="N59" i="67"/>
  <c r="L59" i="67"/>
  <c r="L58" i="67"/>
  <c r="M59" i="67"/>
  <c r="C27" i="15"/>
  <c r="F51" i="15"/>
  <c r="F64" i="15"/>
  <c r="M7" i="15"/>
  <c r="M17" i="15" s="1"/>
  <c r="F50" i="15"/>
  <c r="I1" i="73"/>
  <c r="B39" i="1" s="1"/>
  <c r="F66" i="15"/>
  <c r="F65" i="15"/>
  <c r="J53" i="67"/>
  <c r="J57" i="67"/>
  <c r="J55" i="67" s="1"/>
  <c r="J58" i="67" s="1"/>
  <c r="Q50" i="67" s="1"/>
  <c r="L56" i="67"/>
  <c r="J60" i="67"/>
  <c r="Q48" i="67" s="1"/>
  <c r="L60" i="67"/>
  <c r="J59" i="67"/>
  <c r="Q71" i="67"/>
  <c r="F64" i="83"/>
  <c r="F45" i="69"/>
  <c r="C47" i="69"/>
  <c r="D45" i="69" s="1"/>
  <c r="C29" i="69"/>
  <c r="D27" i="69" s="1"/>
  <c r="B20" i="31"/>
  <c r="B21" i="31" s="1"/>
  <c r="F71" i="15"/>
  <c r="L58" i="15"/>
  <c r="M59" i="15"/>
  <c r="N59" i="15"/>
  <c r="F65" i="67"/>
  <c r="L60" i="83"/>
  <c r="J59" i="83"/>
  <c r="J57" i="83"/>
  <c r="J55" i="83" s="1"/>
  <c r="J58" i="83" s="1"/>
  <c r="Q50" i="83" s="1"/>
  <c r="F66" i="83"/>
  <c r="M17" i="83"/>
  <c r="J6" i="83"/>
  <c r="C9" i="69"/>
  <c r="Q71" i="15"/>
  <c r="F66" i="67"/>
  <c r="B13" i="70"/>
  <c r="C6" i="67"/>
  <c r="F51" i="67"/>
  <c r="C6" i="15"/>
  <c r="F31" i="15"/>
  <c r="F68" i="67"/>
  <c r="F12" i="49"/>
  <c r="H12" i="49" s="1"/>
  <c r="F10" i="49"/>
  <c r="H10" i="49" s="1"/>
  <c r="F8" i="49"/>
  <c r="H8" i="49" s="1"/>
  <c r="F6" i="49"/>
  <c r="H6" i="49" s="1"/>
  <c r="F4" i="49"/>
  <c r="H4" i="49" s="1"/>
  <c r="B12" i="49"/>
  <c r="D12" i="49" s="1"/>
  <c r="B8" i="49"/>
  <c r="D8" i="49" s="1"/>
  <c r="B4" i="49"/>
  <c r="B11" i="49"/>
  <c r="D11" i="49" s="1"/>
  <c r="B7" i="49"/>
  <c r="D7" i="49" s="1"/>
  <c r="C16" i="15"/>
  <c r="C16" i="83"/>
  <c r="G1" i="73"/>
  <c r="C16" i="67"/>
  <c r="E508" i="3" l="1"/>
  <c r="O6" i="3"/>
  <c r="E335" i="3"/>
  <c r="E565" i="3"/>
  <c r="E134" i="3"/>
  <c r="E246" i="3"/>
  <c r="E539" i="3"/>
  <c r="E421" i="3"/>
  <c r="E435" i="3"/>
  <c r="E241" i="3"/>
  <c r="E425" i="3"/>
  <c r="E371" i="3"/>
  <c r="E284" i="3"/>
  <c r="E323" i="3"/>
  <c r="E493" i="3"/>
  <c r="AH6" i="3"/>
  <c r="E372" i="3"/>
  <c r="E325" i="3"/>
  <c r="E20" i="3"/>
  <c r="E451" i="3"/>
  <c r="E225" i="3"/>
  <c r="E482" i="3"/>
  <c r="E342" i="3"/>
  <c r="E287" i="3"/>
  <c r="E253" i="3"/>
  <c r="E157" i="3"/>
  <c r="E573" i="3"/>
  <c r="E288" i="3"/>
  <c r="E450" i="3"/>
  <c r="E54" i="3"/>
  <c r="E31" i="3"/>
  <c r="E379" i="3"/>
  <c r="E478" i="3"/>
  <c r="E367" i="3"/>
  <c r="E546" i="3"/>
  <c r="E162" i="3"/>
  <c r="E291" i="3"/>
  <c r="E29" i="3"/>
  <c r="E464" i="3"/>
  <c r="E156" i="3"/>
  <c r="E128" i="3"/>
  <c r="E277" i="3"/>
  <c r="Q6" i="3"/>
  <c r="E424" i="3"/>
  <c r="E577" i="3"/>
  <c r="E55" i="3"/>
  <c r="E256" i="3"/>
  <c r="E362" i="3"/>
  <c r="I6" i="3"/>
  <c r="E164" i="3"/>
  <c r="AO6" i="3"/>
  <c r="E443" i="3"/>
  <c r="E444" i="3"/>
  <c r="E70" i="3"/>
  <c r="E30" i="3"/>
  <c r="E366" i="3"/>
  <c r="E322" i="3"/>
  <c r="E100" i="3"/>
  <c r="E37" i="3"/>
  <c r="E251" i="3"/>
  <c r="E479" i="3"/>
  <c r="E436" i="3"/>
  <c r="E58" i="3"/>
  <c r="E33" i="3"/>
  <c r="E250" i="3"/>
  <c r="E442" i="3"/>
  <c r="E247" i="3"/>
  <c r="E506" i="3"/>
  <c r="E185" i="3"/>
  <c r="E535" i="3"/>
  <c r="E402" i="3"/>
  <c r="E312" i="3"/>
  <c r="E449" i="3"/>
  <c r="E152" i="3"/>
  <c r="E504" i="3"/>
  <c r="E195" i="3"/>
  <c r="E66" i="3"/>
  <c r="E81" i="3"/>
  <c r="E188" i="3"/>
  <c r="E427" i="3"/>
  <c r="E119" i="3"/>
  <c r="E455" i="3"/>
  <c r="E147" i="3"/>
  <c r="E524" i="3"/>
  <c r="E494" i="3"/>
  <c r="E356" i="3"/>
  <c r="E174" i="3"/>
  <c r="E370" i="3"/>
  <c r="E566" i="3"/>
  <c r="E314" i="3"/>
  <c r="E313" i="3"/>
  <c r="E527" i="3"/>
  <c r="W6" i="3"/>
  <c r="E475" i="3"/>
  <c r="E150" i="3"/>
  <c r="E357" i="3"/>
  <c r="E397" i="3"/>
  <c r="E271" i="3"/>
  <c r="U6" i="3"/>
  <c r="E432" i="3"/>
  <c r="AS6" i="3"/>
  <c r="E71" i="3"/>
  <c r="E272" i="3"/>
  <c r="E384" i="3"/>
  <c r="E536" i="3"/>
  <c r="R6" i="3"/>
  <c r="E181" i="3"/>
  <c r="E330" i="3"/>
  <c r="E472" i="3"/>
  <c r="E344" i="3"/>
  <c r="E146" i="3"/>
  <c r="E274" i="3"/>
  <c r="E32" i="3"/>
  <c r="E89" i="3"/>
  <c r="E576" i="3"/>
  <c r="P6" i="3"/>
  <c r="E557" i="3"/>
  <c r="E404" i="3"/>
  <c r="E166" i="3"/>
  <c r="E377" i="3"/>
  <c r="E480" i="3"/>
  <c r="E268" i="3"/>
  <c r="E300" i="3"/>
  <c r="E235" i="3"/>
  <c r="E401" i="3"/>
  <c r="E63" i="3"/>
  <c r="E140" i="3"/>
  <c r="E459" i="3"/>
  <c r="E416" i="3"/>
  <c r="E201" i="3"/>
  <c r="E261" i="3"/>
  <c r="AN6" i="3"/>
  <c r="E510" i="3"/>
  <c r="E521" i="3"/>
  <c r="E184" i="3"/>
  <c r="E369" i="3"/>
  <c r="E346" i="3"/>
  <c r="E198" i="3"/>
  <c r="E383" i="3"/>
  <c r="E513" i="3"/>
  <c r="E519" i="3"/>
  <c r="E537" i="3"/>
  <c r="E208" i="3"/>
  <c r="E549" i="3"/>
  <c r="E411" i="3"/>
  <c r="E403" i="3"/>
  <c r="E210" i="3"/>
  <c r="E413" i="3"/>
  <c r="E434" i="3"/>
  <c r="K6" i="3"/>
  <c r="AE6" i="3"/>
  <c r="E203" i="3"/>
  <c r="E227" i="3"/>
  <c r="AG6" i="3"/>
  <c r="E211" i="3"/>
  <c r="E217" i="3"/>
  <c r="E249" i="3"/>
  <c r="E409" i="3"/>
  <c r="E60" i="3"/>
  <c r="E299" i="3"/>
  <c r="AR6" i="3"/>
  <c r="E213" i="3"/>
  <c r="X6" i="3"/>
  <c r="E199" i="3"/>
  <c r="E131" i="3"/>
  <c r="E160" i="3"/>
  <c r="E51" i="3"/>
  <c r="E405" i="3"/>
  <c r="E15" i="3"/>
  <c r="E265" i="3"/>
  <c r="E391" i="3"/>
  <c r="E206" i="3"/>
  <c r="E85" i="3"/>
  <c r="E458" i="3"/>
  <c r="E471" i="3"/>
  <c r="E351" i="3"/>
  <c r="E207" i="3"/>
  <c r="E447" i="3"/>
  <c r="E317" i="3"/>
  <c r="E520" i="3"/>
  <c r="AK6" i="3"/>
  <c r="E437" i="3"/>
  <c r="E429" i="3"/>
  <c r="E214" i="3"/>
  <c r="E236" i="3"/>
  <c r="E448" i="3"/>
  <c r="E489" i="3"/>
  <c r="E316" i="3"/>
  <c r="E526" i="3"/>
  <c r="E98" i="3"/>
  <c r="E339" i="3"/>
  <c r="E540" i="3"/>
  <c r="E47" i="3"/>
  <c r="E248" i="3"/>
  <c r="E530" i="3"/>
  <c r="E418" i="3"/>
  <c r="E161" i="3"/>
  <c r="E552" i="3"/>
  <c r="E240" i="3"/>
  <c r="E209" i="3"/>
  <c r="E283" i="3"/>
  <c r="E376" i="3"/>
  <c r="E194" i="3"/>
  <c r="E512" i="3"/>
  <c r="E428" i="3"/>
  <c r="E113" i="3"/>
  <c r="E99" i="3"/>
  <c r="E438" i="3"/>
  <c r="E72" i="3"/>
  <c r="E14" i="3"/>
  <c r="E145" i="3"/>
  <c r="E477" i="3"/>
  <c r="E92" i="3"/>
  <c r="AM6" i="3"/>
  <c r="E77" i="3"/>
  <c r="E120" i="3"/>
  <c r="E481" i="3"/>
  <c r="E454" i="3"/>
  <c r="E394" i="3"/>
  <c r="E252" i="3"/>
  <c r="E400" i="3"/>
  <c r="E88" i="3"/>
  <c r="E334" i="3"/>
  <c r="E282" i="3"/>
  <c r="E83" i="3"/>
  <c r="E123" i="3"/>
  <c r="E470" i="3"/>
  <c r="E95" i="3"/>
  <c r="E392" i="3"/>
  <c r="E129" i="3"/>
  <c r="E84" i="3"/>
  <c r="E408" i="3"/>
  <c r="E574" i="3"/>
  <c r="E215" i="3"/>
  <c r="E301" i="3"/>
  <c r="E430" i="3"/>
  <c r="E349" i="3"/>
  <c r="E584" i="3"/>
  <c r="E16" i="3"/>
  <c r="E40" i="3"/>
  <c r="E112" i="3"/>
  <c r="E13" i="3"/>
  <c r="E500" i="3"/>
  <c r="E45" i="3"/>
  <c r="E562" i="3"/>
  <c r="E168" i="3"/>
  <c r="E93" i="3"/>
  <c r="E585" i="3"/>
  <c r="E547" i="3"/>
  <c r="E126" i="3"/>
  <c r="E441" i="3"/>
  <c r="E238" i="3"/>
  <c r="E177" i="3"/>
  <c r="E465" i="3"/>
  <c r="E73" i="3"/>
  <c r="E580" i="3"/>
  <c r="E327" i="3"/>
  <c r="E558" i="3"/>
  <c r="E121" i="3"/>
  <c r="E109" i="3"/>
  <c r="E64" i="3"/>
  <c r="E292" i="3"/>
  <c r="E446" i="3"/>
  <c r="E148" i="3"/>
  <c r="E48" i="3"/>
  <c r="E86" i="3"/>
  <c r="E452" i="3"/>
  <c r="E453" i="3"/>
  <c r="E522" i="3"/>
  <c r="E281" i="3"/>
  <c r="E176" i="3"/>
  <c r="L6" i="3"/>
  <c r="E534" i="3"/>
  <c r="E381" i="3"/>
  <c r="E46" i="3"/>
  <c r="E417" i="3"/>
  <c r="E212" i="3"/>
  <c r="E221" i="3"/>
  <c r="E439" i="3"/>
  <c r="E53" i="3"/>
  <c r="E516" i="3"/>
  <c r="E151" i="3"/>
  <c r="V6" i="3"/>
  <c r="E230" i="3"/>
  <c r="E395" i="3"/>
  <c r="E290" i="3"/>
  <c r="E578" i="3"/>
  <c r="E583" i="3"/>
  <c r="E502" i="3"/>
  <c r="E460" i="3"/>
  <c r="E363" i="3"/>
  <c r="E138" i="3"/>
  <c r="E23" i="3"/>
  <c r="E154" i="3"/>
  <c r="E173" i="3"/>
  <c r="E490" i="3"/>
  <c r="E333" i="3"/>
  <c r="E555" i="3"/>
  <c r="E514" i="3"/>
  <c r="E321" i="3"/>
  <c r="E183" i="3"/>
  <c r="E191" i="3"/>
  <c r="E280" i="3"/>
  <c r="E542" i="3"/>
  <c r="E90" i="3"/>
  <c r="E484" i="3"/>
  <c r="E492" i="3"/>
  <c r="E264" i="3"/>
  <c r="E543" i="3"/>
  <c r="E276" i="3"/>
  <c r="E36" i="3"/>
  <c r="E469" i="3"/>
  <c r="E332" i="3"/>
  <c r="E324" i="3"/>
  <c r="E22" i="3"/>
  <c r="E306" i="3"/>
  <c r="E319" i="3"/>
  <c r="E359" i="3"/>
  <c r="E561" i="3"/>
  <c r="E189" i="3"/>
  <c r="E17" i="3"/>
  <c r="E350" i="3"/>
  <c r="E343" i="3"/>
  <c r="E234" i="3"/>
  <c r="E82" i="3"/>
  <c r="E233" i="3"/>
  <c r="E87" i="3"/>
  <c r="E125" i="3"/>
  <c r="E28" i="3"/>
  <c r="Z6" i="3"/>
  <c r="E315" i="3"/>
  <c r="E587" i="3"/>
  <c r="E228" i="3"/>
  <c r="E544" i="3"/>
  <c r="E27" i="3"/>
  <c r="E515" i="3"/>
  <c r="E318" i="3"/>
  <c r="E571" i="3"/>
  <c r="E511" i="3"/>
  <c r="E80" i="3"/>
  <c r="E75" i="3"/>
  <c r="E456" i="3"/>
  <c r="E137" i="3"/>
  <c r="E440" i="3"/>
  <c r="E179" i="3"/>
  <c r="E267" i="3"/>
  <c r="E192" i="3"/>
  <c r="E499" i="3"/>
  <c r="E254" i="3"/>
  <c r="E380" i="3"/>
  <c r="E509" i="3"/>
  <c r="E196" i="3"/>
  <c r="E262" i="3"/>
  <c r="E462" i="3"/>
  <c r="E220" i="3"/>
  <c r="E41" i="3"/>
  <c r="E289" i="3"/>
  <c r="E202" i="3"/>
  <c r="E197" i="3"/>
  <c r="E24" i="3"/>
  <c r="E76" i="3"/>
  <c r="I3" i="6"/>
  <c r="AA6" i="3"/>
  <c r="E361" i="3"/>
  <c r="E570" i="3"/>
  <c r="E501" i="3"/>
  <c r="E569" i="3"/>
  <c r="E358" i="3"/>
  <c r="E407" i="3"/>
  <c r="E130" i="3"/>
  <c r="E260" i="3"/>
  <c r="E61" i="3"/>
  <c r="E518" i="3"/>
  <c r="E244" i="3"/>
  <c r="E541" i="3"/>
  <c r="E57" i="3"/>
  <c r="E389" i="3"/>
  <c r="E163" i="3"/>
  <c r="E144" i="3"/>
  <c r="E222" i="3"/>
  <c r="E525" i="3"/>
  <c r="E498" i="3"/>
  <c r="E175" i="3"/>
  <c r="E431" i="3"/>
  <c r="E523" i="3"/>
  <c r="E216" i="3"/>
  <c r="E445" i="3"/>
  <c r="E303" i="3"/>
  <c r="E347" i="3"/>
  <c r="E487" i="3"/>
  <c r="E155" i="3"/>
  <c r="E65" i="3"/>
  <c r="E67" i="3"/>
  <c r="E329" i="3"/>
  <c r="E422" i="3"/>
  <c r="E43" i="3"/>
  <c r="E340" i="3"/>
  <c r="E556" i="3"/>
  <c r="E42" i="3"/>
  <c r="E35" i="3"/>
  <c r="E491" i="3"/>
  <c r="E224" i="3"/>
  <c r="E305" i="3"/>
  <c r="E143" i="3"/>
  <c r="AB6" i="3"/>
  <c r="E237" i="3"/>
  <c r="E180" i="3"/>
  <c r="AI6" i="3"/>
  <c r="AJ6" i="3"/>
  <c r="E116" i="3"/>
  <c r="E104" i="3"/>
  <c r="E258" i="3"/>
  <c r="E108" i="3"/>
  <c r="E572" i="3"/>
  <c r="E531" i="3"/>
  <c r="E204" i="3"/>
  <c r="E171" i="3"/>
  <c r="E406" i="3"/>
  <c r="E545" i="3"/>
  <c r="E44" i="3"/>
  <c r="E476" i="3"/>
  <c r="E107" i="3"/>
  <c r="E279" i="3"/>
  <c r="E457" i="3"/>
  <c r="E461" i="3"/>
  <c r="E49" i="3"/>
  <c r="E243" i="3"/>
  <c r="E218" i="3"/>
  <c r="E473" i="3"/>
  <c r="E564" i="3"/>
  <c r="Y6" i="3"/>
  <c r="E103" i="3"/>
  <c r="E39" i="3"/>
  <c r="E167" i="3"/>
  <c r="E503" i="3"/>
  <c r="M6" i="3"/>
  <c r="E78" i="3"/>
  <c r="E257" i="3"/>
  <c r="E308" i="3"/>
  <c r="E18" i="3"/>
  <c r="E360" i="3"/>
  <c r="AQ6" i="3"/>
  <c r="E419" i="3"/>
  <c r="E309" i="3"/>
  <c r="E386" i="3"/>
  <c r="E348" i="3"/>
  <c r="E466" i="3"/>
  <c r="E495" i="3"/>
  <c r="E278" i="3"/>
  <c r="E97" i="3"/>
  <c r="E426" i="3"/>
  <c r="E396" i="3"/>
  <c r="E559" i="3"/>
  <c r="E320" i="3"/>
  <c r="E114" i="3"/>
  <c r="E550" i="3"/>
  <c r="E245" i="3"/>
  <c r="E293" i="3"/>
  <c r="E141" i="3"/>
  <c r="E255" i="3"/>
  <c r="E132" i="3"/>
  <c r="E488" i="3"/>
  <c r="E266" i="3"/>
  <c r="E355" i="3"/>
  <c r="E21" i="3"/>
  <c r="T6" i="3"/>
  <c r="E25" i="3"/>
  <c r="E153" i="3"/>
  <c r="E285" i="3"/>
  <c r="E538" i="3"/>
  <c r="E69" i="3"/>
  <c r="E302" i="3"/>
  <c r="E586" i="3"/>
  <c r="E165" i="3"/>
  <c r="E374" i="3"/>
  <c r="E259" i="3"/>
  <c r="E142" i="3"/>
  <c r="E341" i="3"/>
  <c r="E223" i="3"/>
  <c r="J6" i="3"/>
  <c r="E79" i="3"/>
  <c r="E62" i="3"/>
  <c r="E26" i="3"/>
  <c r="E412" i="3"/>
  <c r="AF6" i="3"/>
  <c r="E122" i="3"/>
  <c r="E532" i="3"/>
  <c r="E388" i="3"/>
  <c r="E311" i="3"/>
  <c r="E338" i="3"/>
  <c r="E528" i="3"/>
  <c r="E135" i="3"/>
  <c r="E353" i="3"/>
  <c r="E38" i="3"/>
  <c r="E420" i="3"/>
  <c r="E34" i="3"/>
  <c r="N6" i="3"/>
  <c r="E273" i="3"/>
  <c r="E345" i="3"/>
  <c r="E368" i="3"/>
  <c r="E106" i="3"/>
  <c r="E560" i="3"/>
  <c r="E568" i="3"/>
  <c r="E331" i="3"/>
  <c r="E505" i="3"/>
  <c r="E269" i="3"/>
  <c r="E111" i="3"/>
  <c r="E529" i="3"/>
  <c r="E373" i="3"/>
  <c r="E275" i="3"/>
  <c r="E115" i="3"/>
  <c r="E364" i="3"/>
  <c r="E226" i="3"/>
  <c r="E105" i="3"/>
  <c r="E127" i="3"/>
  <c r="E110" i="3"/>
  <c r="AP6" i="3"/>
  <c r="E124" i="3"/>
  <c r="E563" i="3"/>
  <c r="E390" i="3"/>
  <c r="E533" i="3"/>
  <c r="E94" i="3"/>
  <c r="E232" i="3"/>
  <c r="E352" i="3"/>
  <c r="E102" i="3"/>
  <c r="AL6" i="3"/>
  <c r="E101" i="3"/>
  <c r="E170" i="3"/>
  <c r="E507" i="3"/>
  <c r="E118" i="3"/>
  <c r="E200" i="3"/>
  <c r="E187" i="3"/>
  <c r="E575" i="3"/>
  <c r="E263" i="3"/>
  <c r="E298" i="3"/>
  <c r="E410" i="3"/>
  <c r="E239" i="3"/>
  <c r="E229" i="3"/>
  <c r="E551" i="3"/>
  <c r="E294" i="3"/>
  <c r="E415" i="3"/>
  <c r="E117" i="3"/>
  <c r="E382" i="3"/>
  <c r="E336" i="3"/>
  <c r="AD6" i="3"/>
  <c r="AC6" i="3" s="1"/>
  <c r="E554" i="3"/>
  <c r="E297" i="3"/>
  <c r="E467" i="3"/>
  <c r="E310" i="3"/>
  <c r="E68" i="3"/>
  <c r="E296" i="3"/>
  <c r="E486" i="3"/>
  <c r="E242" i="3"/>
  <c r="E328" i="3"/>
  <c r="E270" i="3"/>
  <c r="E387" i="3"/>
  <c r="E304" i="3"/>
  <c r="E91" i="3"/>
  <c r="E385" i="3"/>
  <c r="E286" i="3"/>
  <c r="E517" i="3"/>
  <c r="E375" i="3"/>
  <c r="E307" i="3"/>
  <c r="E19" i="3"/>
  <c r="E393" i="3"/>
  <c r="E178" i="3"/>
  <c r="E219" i="3"/>
  <c r="E365" i="3"/>
  <c r="E139" i="3"/>
  <c r="E190" i="3"/>
  <c r="E158" i="3"/>
  <c r="E136" i="3"/>
  <c r="E474" i="3"/>
  <c r="E579" i="3"/>
  <c r="S6" i="3"/>
  <c r="E231" i="3"/>
  <c r="E172" i="3"/>
  <c r="E159" i="3"/>
  <c r="E399" i="3"/>
  <c r="E56" i="3"/>
  <c r="E463" i="3"/>
  <c r="E59" i="3"/>
  <c r="E553" i="3"/>
  <c r="E182" i="3"/>
  <c r="E485" i="3"/>
  <c r="E74" i="3"/>
  <c r="E468" i="3"/>
  <c r="E133" i="3"/>
  <c r="E149" i="3"/>
  <c r="E186" i="3"/>
  <c r="E414" i="3"/>
  <c r="E567" i="3"/>
  <c r="E433" i="3"/>
  <c r="E193" i="3"/>
  <c r="E326" i="3"/>
  <c r="E96" i="3"/>
  <c r="E497" i="3"/>
  <c r="E52" i="3"/>
  <c r="E483" i="3"/>
  <c r="E205" i="3"/>
  <c r="E354" i="3"/>
  <c r="E378" i="3"/>
  <c r="E398" i="3"/>
  <c r="E423" i="3"/>
  <c r="E169" i="3"/>
  <c r="E337" i="3"/>
  <c r="D38" i="77"/>
  <c r="D39" i="77" s="1"/>
  <c r="E23" i="77"/>
  <c r="D26" i="77"/>
  <c r="D29" i="77"/>
  <c r="D32" i="77" s="1"/>
  <c r="B27" i="71"/>
  <c r="B26" i="71" s="1"/>
  <c r="S28" i="71"/>
  <c r="AZ24" i="3"/>
  <c r="AZ5" i="3" s="1"/>
  <c r="BA5" i="3"/>
  <c r="E27" i="6" s="1"/>
  <c r="E582" i="3"/>
  <c r="F7" i="37"/>
  <c r="G21" i="43"/>
  <c r="C20" i="43" s="1"/>
  <c r="R5" i="77"/>
  <c r="U5" i="77" s="1"/>
  <c r="R25" i="77"/>
  <c r="E50" i="3"/>
  <c r="U12" i="34"/>
  <c r="AB12" i="34"/>
  <c r="AC36" i="35"/>
  <c r="W36" i="35"/>
  <c r="E29" i="6"/>
  <c r="AB33" i="40"/>
  <c r="U33" i="40"/>
  <c r="D15" i="71"/>
  <c r="C14" i="71"/>
  <c r="F66" i="71"/>
  <c r="Q67" i="71"/>
  <c r="C60" i="71"/>
  <c r="D59" i="71"/>
  <c r="BL5" i="3"/>
  <c r="W34" i="21"/>
  <c r="AC34" i="21"/>
  <c r="E581" i="3"/>
  <c r="U36" i="35"/>
  <c r="AB36" i="35"/>
  <c r="E10" i="6"/>
  <c r="E12" i="6"/>
  <c r="E8" i="6"/>
  <c r="E15" i="6"/>
  <c r="S33" i="40"/>
  <c r="AA33" i="40"/>
  <c r="J7" i="37"/>
  <c r="J60" i="83"/>
  <c r="Q48" i="83" s="1"/>
  <c r="L59" i="15"/>
  <c r="Q74" i="15" s="1"/>
  <c r="J59" i="15"/>
  <c r="H7" i="37"/>
  <c r="D34" i="71"/>
  <c r="C35" i="71"/>
  <c r="B19" i="71"/>
  <c r="B18" i="71" s="1"/>
  <c r="B17" i="71" s="1"/>
  <c r="B16" i="71" s="1"/>
  <c r="S20" i="71"/>
  <c r="E295" i="3"/>
  <c r="AA23" i="36"/>
  <c r="S23" i="36"/>
  <c r="W11" i="21"/>
  <c r="AC11" i="21"/>
  <c r="E548" i="3"/>
  <c r="AB34" i="21"/>
  <c r="U34" i="21"/>
  <c r="E496" i="3"/>
  <c r="G28" i="6"/>
  <c r="G30" i="6" s="1"/>
  <c r="G31" i="6" s="1"/>
  <c r="W33" i="40"/>
  <c r="AC33" i="40"/>
  <c r="F28" i="6"/>
  <c r="H67" i="39"/>
  <c r="G69" i="39"/>
  <c r="C118" i="43"/>
  <c r="D116" i="43" s="1"/>
  <c r="E60" i="39"/>
  <c r="E56" i="40"/>
  <c r="F28" i="12"/>
  <c r="F27" i="68"/>
  <c r="F27" i="11"/>
  <c r="D19" i="12"/>
  <c r="C19" i="12" s="1"/>
  <c r="D9" i="11"/>
  <c r="C9" i="11" s="1"/>
  <c r="D9" i="68"/>
  <c r="E59" i="40"/>
  <c r="E63" i="39"/>
  <c r="F33" i="21"/>
  <c r="H33" i="21"/>
  <c r="J33" i="21"/>
  <c r="E62" i="39"/>
  <c r="E58" i="40"/>
  <c r="B40" i="1"/>
  <c r="F25" i="12" s="1"/>
  <c r="M59" i="83"/>
  <c r="F7" i="35"/>
  <c r="D48" i="35"/>
  <c r="E48" i="35" s="1"/>
  <c r="F48" i="35" s="1"/>
  <c r="G48" i="35" s="1"/>
  <c r="H48" i="35" s="1"/>
  <c r="I48" i="35" s="1"/>
  <c r="J48" i="35" s="1"/>
  <c r="K48" i="35" s="1"/>
  <c r="L48" i="35" s="1"/>
  <c r="M48" i="35" s="1"/>
  <c r="N48" i="35" s="1"/>
  <c r="O48" i="35" s="1"/>
  <c r="J7" i="35"/>
  <c r="C65" i="40"/>
  <c r="D63" i="40"/>
  <c r="J7" i="34"/>
  <c r="F7" i="34"/>
  <c r="D59" i="34"/>
  <c r="E59" i="34" s="1"/>
  <c r="F59" i="34" s="1"/>
  <c r="G59" i="34" s="1"/>
  <c r="H59" i="34" s="1"/>
  <c r="I59" i="34" s="1"/>
  <c r="J59" i="34" s="1"/>
  <c r="K59" i="34" s="1"/>
  <c r="L59" i="34" s="1"/>
  <c r="M59" i="34" s="1"/>
  <c r="N59" i="34" s="1"/>
  <c r="O59" i="34" s="1"/>
  <c r="AA7" i="37"/>
  <c r="R42" i="37" s="1"/>
  <c r="S7" i="3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C24" i="12"/>
  <c r="C77" i="9"/>
  <c r="C74" i="9" s="1"/>
  <c r="C28" i="67"/>
  <c r="C30" i="68"/>
  <c r="C13" i="12"/>
  <c r="C48" i="69"/>
  <c r="C28" i="15"/>
  <c r="C36" i="11"/>
  <c r="C30" i="69"/>
  <c r="C48" i="68"/>
  <c r="C31" i="12"/>
  <c r="C28" i="83"/>
  <c r="J10" i="39"/>
  <c r="F10" i="39"/>
  <c r="H10" i="39"/>
  <c r="J10" i="40"/>
  <c r="H10" i="40"/>
  <c r="F10" i="40"/>
  <c r="W7" i="37"/>
  <c r="AC7" i="37"/>
  <c r="V42" i="37" s="1"/>
  <c r="I42" i="37" s="1"/>
  <c r="C23" i="43"/>
  <c r="P26" i="43"/>
  <c r="P28" i="43"/>
  <c r="B66" i="40" s="1"/>
  <c r="P27" i="43"/>
  <c r="B70" i="39" s="1"/>
  <c r="A1" i="79"/>
  <c r="O23" i="43"/>
  <c r="P25" i="43"/>
  <c r="P29" i="43"/>
  <c r="D58" i="33"/>
  <c r="E58" i="33" s="1"/>
  <c r="F58" i="33" s="1"/>
  <c r="G58" i="33" s="1"/>
  <c r="H58" i="33" s="1"/>
  <c r="I58" i="33" s="1"/>
  <c r="J58" i="33" s="1"/>
  <c r="K58" i="33" s="1"/>
  <c r="L58" i="33" s="1"/>
  <c r="M58" i="33" s="1"/>
  <c r="N58" i="33" s="1"/>
  <c r="O58" i="33" s="1"/>
  <c r="H7" i="33"/>
  <c r="F7" i="33"/>
  <c r="AB7" i="37"/>
  <c r="T42" i="37" s="1"/>
  <c r="G42" i="37" s="1"/>
  <c r="U7" i="37"/>
  <c r="J53" i="83"/>
  <c r="L56" i="83" s="1"/>
  <c r="D46" i="36"/>
  <c r="E46" i="36" s="1"/>
  <c r="F46" i="36" s="1"/>
  <c r="G46" i="36" s="1"/>
  <c r="H46" i="36" s="1"/>
  <c r="I46" i="36" s="1"/>
  <c r="J46" i="36" s="1"/>
  <c r="K46" i="36" s="1"/>
  <c r="L46" i="36" s="1"/>
  <c r="M46" i="36" s="1"/>
  <c r="N46" i="36" s="1"/>
  <c r="O46" i="36" s="1"/>
  <c r="C36" i="68"/>
  <c r="C4" i="4"/>
  <c r="B4" i="62" s="1"/>
  <c r="B71" i="72" s="1"/>
  <c r="M17" i="67"/>
  <c r="J17" i="67" s="1"/>
  <c r="F59" i="15"/>
  <c r="F59" i="67"/>
  <c r="C31" i="83"/>
  <c r="C31" i="15"/>
  <c r="J17" i="83"/>
  <c r="J19" i="83"/>
  <c r="J18" i="83"/>
  <c r="Q60" i="67"/>
  <c r="Q73" i="67"/>
  <c r="Q61" i="83"/>
  <c r="Q74" i="83"/>
  <c r="F59" i="83"/>
  <c r="C49" i="83"/>
  <c r="Q57" i="15"/>
  <c r="Q66" i="15"/>
  <c r="Q60" i="15"/>
  <c r="Q73" i="15"/>
  <c r="J18" i="67"/>
  <c r="J19" i="67"/>
  <c r="M11" i="83"/>
  <c r="J10" i="83" s="1"/>
  <c r="J5" i="83" s="1"/>
  <c r="F11" i="15"/>
  <c r="C53" i="15" s="1"/>
  <c r="F11" i="67"/>
  <c r="C53" i="67" s="1"/>
  <c r="F11" i="83"/>
  <c r="C53" i="83" s="1"/>
  <c r="M11" i="15"/>
  <c r="J10" i="15" s="1"/>
  <c r="M11" i="67"/>
  <c r="J10" i="67" s="1"/>
  <c r="J5" i="67" s="1"/>
  <c r="C49" i="15"/>
  <c r="Q61" i="67"/>
  <c r="Q74" i="67"/>
  <c r="Q60" i="83"/>
  <c r="Q73" i="83"/>
  <c r="F1" i="15"/>
  <c r="Q52" i="15"/>
  <c r="L56" i="15"/>
  <c r="J6" i="15"/>
  <c r="C49" i="67"/>
  <c r="Q66" i="83"/>
  <c r="Q57" i="83"/>
  <c r="D4" i="49"/>
  <c r="E4" i="4"/>
  <c r="B5" i="62" s="1"/>
  <c r="B73" i="72" s="1"/>
  <c r="C31" i="67"/>
  <c r="Q66" i="67"/>
  <c r="Q57" i="67"/>
  <c r="F1" i="67"/>
  <c r="Q52" i="67"/>
  <c r="AE6" i="1"/>
  <c r="F41" i="67"/>
  <c r="F41" i="83"/>
  <c r="F41" i="15"/>
  <c r="F24" i="67" l="1"/>
  <c r="C24" i="67" s="1"/>
  <c r="Q61" i="15"/>
  <c r="AY6" i="3"/>
  <c r="E3" i="6"/>
  <c r="F7" i="36"/>
  <c r="F30" i="6"/>
  <c r="E28" i="6"/>
  <c r="E64" i="39"/>
  <c r="E60" i="40"/>
  <c r="H7" i="36"/>
  <c r="F27" i="6"/>
  <c r="F31" i="6" s="1"/>
  <c r="E56" i="39"/>
  <c r="E65" i="39" s="1"/>
  <c r="E51" i="40"/>
  <c r="Q66" i="71"/>
  <c r="Q65" i="71"/>
  <c r="S16" i="71"/>
  <c r="B15" i="71"/>
  <c r="B14" i="71" s="1"/>
  <c r="B13" i="71" s="1"/>
  <c r="B12" i="71" s="1"/>
  <c r="E57" i="40"/>
  <c r="E61" i="39"/>
  <c r="D14" i="71"/>
  <c r="C13" i="71"/>
  <c r="L19" i="6"/>
  <c r="L27" i="6" s="1"/>
  <c r="K15" i="1"/>
  <c r="E32" i="77"/>
  <c r="E29" i="77"/>
  <c r="E26" i="77"/>
  <c r="E38" i="77"/>
  <c r="E39" i="77" s="1"/>
  <c r="C40" i="77" s="1"/>
  <c r="J7" i="36"/>
  <c r="AC7" i="36" s="1"/>
  <c r="V36" i="36" s="1"/>
  <c r="I36" i="36" s="1"/>
  <c r="H7" i="34"/>
  <c r="H7" i="35"/>
  <c r="E16" i="6"/>
  <c r="I67" i="39"/>
  <c r="H69" i="39"/>
  <c r="D35" i="71"/>
  <c r="C36" i="71"/>
  <c r="D60" i="71"/>
  <c r="T60" i="71"/>
  <c r="D5" i="43"/>
  <c r="C5" i="43"/>
  <c r="H6" i="3"/>
  <c r="E6" i="3" s="1"/>
  <c r="L36" i="43"/>
  <c r="O36" i="43" s="1"/>
  <c r="F22" i="11"/>
  <c r="C44" i="11" s="1"/>
  <c r="D41" i="11" s="1"/>
  <c r="F24" i="15"/>
  <c r="C24" i="15" s="1"/>
  <c r="F22" i="69"/>
  <c r="F41" i="69" s="1"/>
  <c r="F24" i="83"/>
  <c r="C24" i="83" s="1"/>
  <c r="F22" i="68"/>
  <c r="C23" i="68" s="1"/>
  <c r="C9" i="68"/>
  <c r="C47" i="68"/>
  <c r="D45" i="68" s="1"/>
  <c r="F45" i="68"/>
  <c r="C29" i="68"/>
  <c r="D27" i="68" s="1"/>
  <c r="Q52" i="83"/>
  <c r="AC33" i="21"/>
  <c r="W33" i="21"/>
  <c r="F1" i="83"/>
  <c r="C29" i="12"/>
  <c r="D28" i="12" s="1"/>
  <c r="U33" i="21"/>
  <c r="AB33" i="21"/>
  <c r="S33" i="21"/>
  <c r="AA33" i="21"/>
  <c r="C29" i="11"/>
  <c r="D27" i="11" s="1"/>
  <c r="C47" i="11"/>
  <c r="D45" i="11" s="1"/>
  <c r="U7" i="36"/>
  <c r="AB7" i="36"/>
  <c r="T36" i="36" s="1"/>
  <c r="G36" i="36" s="1"/>
  <c r="G47" i="37"/>
  <c r="H47" i="37" s="1"/>
  <c r="G46" i="37"/>
  <c r="H46" i="37" s="1"/>
  <c r="AA10" i="40"/>
  <c r="S10" i="40"/>
  <c r="AA10" i="39"/>
  <c r="S10" i="39"/>
  <c r="F7" i="21"/>
  <c r="R43" i="37"/>
  <c r="E42" i="37"/>
  <c r="AC7" i="34"/>
  <c r="V49" i="34" s="1"/>
  <c r="I49" i="34" s="1"/>
  <c r="W7" i="34"/>
  <c r="AC7" i="35"/>
  <c r="V38" i="35" s="1"/>
  <c r="I38" i="35" s="1"/>
  <c r="W7" i="35"/>
  <c r="J7" i="33"/>
  <c r="T2" i="43"/>
  <c r="V2" i="43" s="1"/>
  <c r="T10" i="43"/>
  <c r="V10" i="43" s="1"/>
  <c r="T7" i="43"/>
  <c r="V7" i="43" s="1"/>
  <c r="T9" i="43"/>
  <c r="V9" i="43" s="1"/>
  <c r="T6" i="43"/>
  <c r="V6" i="43" s="1"/>
  <c r="T4" i="43"/>
  <c r="V4" i="43" s="1"/>
  <c r="T8" i="43"/>
  <c r="V8" i="43" s="1"/>
  <c r="C33" i="43"/>
  <c r="T5" i="43"/>
  <c r="V5" i="43" s="1"/>
  <c r="T16" i="43"/>
  <c r="V16" i="43" s="1"/>
  <c r="T3" i="43"/>
  <c r="V3" i="43" s="1"/>
  <c r="C37" i="43"/>
  <c r="C39" i="43"/>
  <c r="C42" i="43"/>
  <c r="C41" i="43"/>
  <c r="T11" i="43"/>
  <c r="V11" i="43" s="1"/>
  <c r="T15" i="43"/>
  <c r="V15" i="43" s="1"/>
  <c r="T13" i="43"/>
  <c r="V13" i="43" s="1"/>
  <c r="T12" i="43"/>
  <c r="V12" i="43" s="1"/>
  <c r="C38" i="43"/>
  <c r="C40" i="43"/>
  <c r="T14" i="43"/>
  <c r="V14" i="43" s="1"/>
  <c r="AB10" i="40"/>
  <c r="U10" i="40"/>
  <c r="AC10" i="39"/>
  <c r="W10" i="39"/>
  <c r="H7" i="21"/>
  <c r="D65" i="40"/>
  <c r="E63" i="40"/>
  <c r="S7" i="33"/>
  <c r="AA7" i="33"/>
  <c r="R48" i="33" s="1"/>
  <c r="I47" i="37"/>
  <c r="J47" i="37" s="1"/>
  <c r="I46" i="37"/>
  <c r="J46" i="37" s="1"/>
  <c r="AC10" i="40"/>
  <c r="W10" i="40"/>
  <c r="S7" i="34"/>
  <c r="AA7" i="34"/>
  <c r="R49" i="34" s="1"/>
  <c r="AA7" i="35"/>
  <c r="R38" i="35" s="1"/>
  <c r="S7" i="35"/>
  <c r="S7" i="36"/>
  <c r="AA7" i="36"/>
  <c r="R36" i="36" s="1"/>
  <c r="U7" i="33"/>
  <c r="AB7" i="33"/>
  <c r="T48" i="33" s="1"/>
  <c r="G48" i="33" s="1"/>
  <c r="AB10" i="39"/>
  <c r="U10" i="39"/>
  <c r="J7" i="21"/>
  <c r="AB7" i="34"/>
  <c r="T49" i="34" s="1"/>
  <c r="G49" i="34" s="1"/>
  <c r="U7" i="34"/>
  <c r="AB7" i="35"/>
  <c r="T38" i="35" s="1"/>
  <c r="G38" i="35" s="1"/>
  <c r="U7" i="35"/>
  <c r="C10" i="67"/>
  <c r="C5" i="67" s="1"/>
  <c r="C38" i="67" s="1"/>
  <c r="F69" i="83"/>
  <c r="F69" i="67"/>
  <c r="F69" i="15"/>
  <c r="J24" i="67"/>
  <c r="J26" i="67"/>
  <c r="J29" i="67" s="1"/>
  <c r="J24" i="83"/>
  <c r="J26" i="83"/>
  <c r="J29" i="83" s="1"/>
  <c r="C10" i="15"/>
  <c r="C5" i="15" s="1"/>
  <c r="P36" i="43"/>
  <c r="M36" i="43"/>
  <c r="N36" i="43"/>
  <c r="J5" i="15"/>
  <c r="J18" i="15"/>
  <c r="J17" i="15"/>
  <c r="J19" i="15"/>
  <c r="C48" i="15"/>
  <c r="C59" i="15"/>
  <c r="C59" i="67"/>
  <c r="C48" i="67"/>
  <c r="C48" i="83"/>
  <c r="C59" i="83"/>
  <c r="C10" i="83"/>
  <c r="C5" i="83" s="1"/>
  <c r="C26" i="12"/>
  <c r="D25" i="12" s="1"/>
  <c r="K4" i="4"/>
  <c r="B46" i="48" s="1"/>
  <c r="B4" i="72" s="1"/>
  <c r="Q36" i="43" l="1"/>
  <c r="L37" i="43"/>
  <c r="N37" i="43" s="1"/>
  <c r="B2" i="77"/>
  <c r="B3" i="77" s="1"/>
  <c r="C41" i="77"/>
  <c r="J67" i="39"/>
  <c r="I69" i="39"/>
  <c r="T36" i="71"/>
  <c r="D36" i="71"/>
  <c r="D14" i="12"/>
  <c r="D19" i="11"/>
  <c r="C19" i="11" s="1"/>
  <c r="D3" i="33"/>
  <c r="B3" i="33" s="1"/>
  <c r="D37" i="11"/>
  <c r="C37" i="11" s="1"/>
  <c r="D3" i="34"/>
  <c r="B3" i="34" s="1"/>
  <c r="C17" i="4"/>
  <c r="B4" i="52" s="1"/>
  <c r="B43" i="72" s="1"/>
  <c r="D3" i="37"/>
  <c r="B3" i="37" s="1"/>
  <c r="E6" i="6"/>
  <c r="W7" i="36"/>
  <c r="K14" i="1"/>
  <c r="M14" i="1" s="1"/>
  <c r="M16" i="1" s="1"/>
  <c r="K26" i="6"/>
  <c r="M26" i="6" s="1"/>
  <c r="I26" i="6" s="1"/>
  <c r="S26" i="6" s="1"/>
  <c r="E30" i="6"/>
  <c r="E31" i="6" s="1"/>
  <c r="K24" i="6"/>
  <c r="M24" i="6" s="1"/>
  <c r="I24" i="6" s="1"/>
  <c r="S24" i="6" s="1"/>
  <c r="K25" i="6"/>
  <c r="M25" i="6" s="1"/>
  <c r="I25" i="6" s="1"/>
  <c r="S25" i="6" s="1"/>
  <c r="K21" i="6"/>
  <c r="M21" i="6" s="1"/>
  <c r="I21" i="6" s="1"/>
  <c r="S21" i="6" s="1"/>
  <c r="K20" i="6"/>
  <c r="M20" i="6" s="1"/>
  <c r="I20" i="6" s="1"/>
  <c r="S20" i="6" s="1"/>
  <c r="K22" i="6"/>
  <c r="M22" i="6" s="1"/>
  <c r="I22" i="6" s="1"/>
  <c r="S22" i="6" s="1"/>
  <c r="K23" i="6"/>
  <c r="M23" i="6" s="1"/>
  <c r="I23" i="6" s="1"/>
  <c r="S23" i="6" s="1"/>
  <c r="K19" i="6"/>
  <c r="AY83" i="3"/>
  <c r="AY115" i="3"/>
  <c r="AY58" i="3"/>
  <c r="AY103" i="3"/>
  <c r="AY261" i="3"/>
  <c r="AY460" i="3"/>
  <c r="AY217" i="3"/>
  <c r="AY420" i="3"/>
  <c r="BE6" i="3"/>
  <c r="AY33" i="3"/>
  <c r="AY133" i="3"/>
  <c r="AY262" i="3"/>
  <c r="BH6" i="3"/>
  <c r="AY166" i="3"/>
  <c r="AY388" i="3"/>
  <c r="AY475" i="3"/>
  <c r="AY51" i="3"/>
  <c r="AY281" i="3"/>
  <c r="AY67" i="3"/>
  <c r="AY318" i="3"/>
  <c r="AY395" i="3"/>
  <c r="AY569" i="3"/>
  <c r="AY206" i="3"/>
  <c r="AY263" i="3"/>
  <c r="BJ6" i="3"/>
  <c r="AY274" i="3"/>
  <c r="AY457"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253" i="3"/>
  <c r="AY409" i="3"/>
  <c r="AY108" i="3"/>
  <c r="AY214" i="3"/>
  <c r="AY349" i="3"/>
  <c r="AY534" i="3"/>
  <c r="AY387" i="3"/>
  <c r="AY562" i="3"/>
  <c r="AY302" i="3"/>
  <c r="AY279" i="3"/>
  <c r="BN6" i="3"/>
  <c r="AY31" i="3"/>
  <c r="AY478" i="3"/>
  <c r="AY173" i="3"/>
  <c r="AY29" i="3"/>
  <c r="AY419" i="3"/>
  <c r="AY80" i="3"/>
  <c r="AY369" i="3"/>
  <c r="AY410" i="3"/>
  <c r="AY531" i="3"/>
  <c r="AY280" i="3"/>
  <c r="AY469" i="3"/>
  <c r="AY560" i="3"/>
  <c r="AY38" i="3"/>
  <c r="AY277" i="3"/>
  <c r="AY354" i="3"/>
  <c r="AY429" i="3"/>
  <c r="AY32" i="3"/>
  <c r="AY352" i="3"/>
  <c r="AY431" i="3"/>
  <c r="AY563" i="3"/>
  <c r="AY233" i="3"/>
  <c r="AY13" i="3"/>
  <c r="AY136" i="3"/>
  <c r="AY432" i="3"/>
  <c r="AY153" i="3"/>
  <c r="AY320" i="3"/>
  <c r="AY538" i="3"/>
  <c r="AY62" i="3"/>
  <c r="AY359" i="3"/>
  <c r="AY107" i="3"/>
  <c r="AY240" i="3"/>
  <c r="AY566" i="3"/>
  <c r="AY382" i="3"/>
  <c r="AY180" i="3"/>
  <c r="AY45" i="3"/>
  <c r="AY381" i="3"/>
  <c r="AY332" i="3"/>
  <c r="AY571" i="3"/>
  <c r="AY486" i="3"/>
  <c r="BO6" i="3"/>
  <c r="AY239" i="3"/>
  <c r="AY226" i="3"/>
  <c r="AY518" i="3"/>
  <c r="AY147" i="3"/>
  <c r="AY417" i="3"/>
  <c r="AY134" i="3"/>
  <c r="AY161" i="3"/>
  <c r="AY580" i="3"/>
  <c r="AY37" i="3"/>
  <c r="AY345" i="3"/>
  <c r="AY423" i="3"/>
  <c r="BA6" i="3"/>
  <c r="AY264" i="3"/>
  <c r="AY466" i="3"/>
  <c r="AY512" i="3"/>
  <c r="AY27" i="3"/>
  <c r="AY273" i="3"/>
  <c r="AY323" i="3"/>
  <c r="AY550" i="3"/>
  <c r="AY205" i="3"/>
  <c r="AY321" i="3"/>
  <c r="AY399" i="3"/>
  <c r="AY110" i="3"/>
  <c r="AY216" i="3"/>
  <c r="AY528" i="3"/>
  <c r="AY288" i="3"/>
  <c r="AY413" i="3"/>
  <c r="AY155" i="3"/>
  <c r="AY268" i="3"/>
  <c r="AY160" i="3"/>
  <c r="AY473" i="3"/>
  <c r="AY372" i="3"/>
  <c r="AY544" i="3"/>
  <c r="AY76" i="3"/>
  <c r="AY125" i="3"/>
  <c r="AY397" i="3"/>
  <c r="AY202" i="3"/>
  <c r="AY333" i="3"/>
  <c r="AY462" i="3"/>
  <c r="AY42" i="3"/>
  <c r="AY139" i="3"/>
  <c r="AY106" i="3"/>
  <c r="AY513" i="3"/>
  <c r="AY170" i="3"/>
  <c r="AY392" i="3"/>
  <c r="AY114" i="3"/>
  <c r="AY414" i="3"/>
  <c r="BF6" i="3"/>
  <c r="AY171" i="3"/>
  <c r="AY269" i="3"/>
  <c r="AY574" i="3"/>
  <c r="AY178" i="3"/>
  <c r="AY365" i="3"/>
  <c r="AY243" i="3"/>
  <c r="AY422" i="3"/>
  <c r="AY496" i="3"/>
  <c r="AY292" i="3"/>
  <c r="AY229" i="3"/>
  <c r="AY105" i="3"/>
  <c r="AY141" i="3"/>
  <c r="AY368" i="3"/>
  <c r="AY370" i="3"/>
  <c r="AY503" i="3"/>
  <c r="AY582" i="3"/>
  <c r="AY137" i="3"/>
  <c r="AY364" i="3"/>
  <c r="AY468" i="3"/>
  <c r="AY14" i="3"/>
  <c r="AY578" i="3"/>
  <c r="AY156" i="3"/>
  <c r="AY87" i="3"/>
  <c r="AY74" i="3"/>
  <c r="BK6" i="3"/>
  <c r="AY554" i="3"/>
  <c r="AY398" i="3"/>
  <c r="AY90" i="3"/>
  <c r="AY89" i="3"/>
  <c r="BS6" i="3"/>
  <c r="AY435" i="3"/>
  <c r="AY350" i="3"/>
  <c r="AY100" i="3"/>
  <c r="AY507" i="3"/>
  <c r="AY536" i="3"/>
  <c r="AY129" i="3"/>
  <c r="AY453" i="3"/>
  <c r="AY94" i="3"/>
  <c r="AY362" i="3"/>
  <c r="AY558" i="3"/>
  <c r="AY184" i="3"/>
  <c r="AY224" i="3"/>
  <c r="AY448" i="3"/>
  <c r="AY142" i="3"/>
  <c r="AY492" i="3"/>
  <c r="AY530" i="3"/>
  <c r="AY383" i="3"/>
  <c r="AY39" i="3"/>
  <c r="AY322" i="3"/>
  <c r="AY267" i="3"/>
  <c r="AY434" i="3"/>
  <c r="AY493" i="3"/>
  <c r="AY485" i="3"/>
  <c r="AY164" i="3"/>
  <c r="AY400" i="3"/>
  <c r="AY196" i="3"/>
  <c r="AY433" i="3"/>
  <c r="AY231" i="3"/>
  <c r="AY446" i="3"/>
  <c r="AY18" i="3"/>
  <c r="AY404" i="3"/>
  <c r="AY389" i="3"/>
  <c r="AY454" i="3"/>
  <c r="AY191" i="3"/>
  <c r="AY539" i="3"/>
  <c r="AY373" i="3"/>
  <c r="AY438" i="3"/>
  <c r="AY169" i="3"/>
  <c r="AY484" i="3"/>
  <c r="BR6" i="3"/>
  <c r="AY376" i="3"/>
  <c r="AY405" i="3"/>
  <c r="AY70" i="3"/>
  <c r="AY256" i="3"/>
  <c r="AY459" i="3"/>
  <c r="AY498" i="3"/>
  <c r="AY304" i="3"/>
  <c r="AY537" i="3"/>
  <c r="AY296" i="3"/>
  <c r="AY102" i="3"/>
  <c r="AY339" i="3"/>
  <c r="AY174" i="3"/>
  <c r="AY305" i="3"/>
  <c r="AY505" i="3"/>
  <c r="AY79" i="3"/>
  <c r="AY394" i="3"/>
  <c r="AY568" i="3"/>
  <c r="AY257" i="3"/>
  <c r="AY307" i="3"/>
  <c r="AY59" i="3"/>
  <c r="AY225" i="3"/>
  <c r="AY183" i="3"/>
  <c r="AY529" i="3"/>
  <c r="AY327" i="3"/>
  <c r="AY533" i="3"/>
  <c r="AY190" i="3"/>
  <c r="AY278" i="3"/>
  <c r="AY374" i="3"/>
  <c r="AY145" i="3"/>
  <c r="AY348" i="3"/>
  <c r="AY430" i="3"/>
  <c r="AY168" i="3"/>
  <c r="AY123" i="3"/>
  <c r="AY245" i="3"/>
  <c r="AY553" i="3"/>
  <c r="AY149" i="3"/>
  <c r="AY357" i="3"/>
  <c r="AY377" i="3"/>
  <c r="AY427" i="3"/>
  <c r="AY546" i="3"/>
  <c r="AY237" i="3"/>
  <c r="AY390" i="3"/>
  <c r="AY555" i="3"/>
  <c r="AY117" i="3"/>
  <c r="BI6" i="3"/>
  <c r="AY393" i="3"/>
  <c r="AY516" i="3"/>
  <c r="AY523" i="3"/>
  <c r="AY220" i="3"/>
  <c r="AY326" i="3"/>
  <c r="AY69" i="3"/>
  <c r="AY291" i="3"/>
  <c r="AY72" i="3"/>
  <c r="AY309" i="3"/>
  <c r="AY572" i="3"/>
  <c r="AY65" i="3"/>
  <c r="AY287" i="3"/>
  <c r="AY329" i="3"/>
  <c r="AY426" i="3"/>
  <c r="AY524" i="3"/>
  <c r="AY99" i="3"/>
  <c r="AY285" i="3"/>
  <c r="AY144" i="3"/>
  <c r="AY363" i="3"/>
  <c r="AY28" i="3"/>
  <c r="AY24" i="3"/>
  <c r="BQ6" i="3"/>
  <c r="AY425" i="3"/>
  <c r="AY36" i="3"/>
  <c r="AY40" i="3"/>
  <c r="AY508" i="3"/>
  <c r="AY497" i="3"/>
  <c r="AY20" i="3"/>
  <c r="AY275" i="3"/>
  <c r="AY584" i="3"/>
  <c r="AY266" i="3"/>
  <c r="AY579" i="3"/>
  <c r="AY35" i="3"/>
  <c r="AY346" i="3"/>
  <c r="BL6" i="3"/>
  <c r="AY148" i="3"/>
  <c r="AY391" i="3"/>
  <c r="BD6" i="3"/>
  <c r="AY298" i="3"/>
  <c r="AY450" i="3"/>
  <c r="AY47" i="3"/>
  <c r="AY330" i="3"/>
  <c r="AY195" i="3"/>
  <c r="AY15" i="3"/>
  <c r="AY396" i="3"/>
  <c r="AY415" i="3"/>
  <c r="AY172" i="3"/>
  <c r="AY408" i="3"/>
  <c r="AY293" i="3"/>
  <c r="AY34" i="3"/>
  <c r="AY204" i="3"/>
  <c r="AY541" i="3"/>
  <c r="AY104" i="3"/>
  <c r="AY411" i="3"/>
  <c r="AY75" i="3"/>
  <c r="AY53" i="3"/>
  <c r="AY93" i="3"/>
  <c r="AY525" i="3"/>
  <c r="AY455" i="3"/>
  <c r="AY84" i="3"/>
  <c r="AY88" i="3"/>
  <c r="AY552" i="3"/>
  <c r="AY282" i="3"/>
  <c r="AY442" i="3"/>
  <c r="AY78" i="3"/>
  <c r="AY331" i="3"/>
  <c r="AY517" i="3"/>
  <c r="AY179" i="3"/>
  <c r="AY213" i="3"/>
  <c r="AY416" i="3"/>
  <c r="AY122" i="3"/>
  <c r="AY461" i="3"/>
  <c r="AY548" i="3"/>
  <c r="AY347" i="3"/>
  <c r="AY22" i="3"/>
  <c r="AY474" i="3"/>
  <c r="AY113" i="3"/>
  <c r="AY479" i="3"/>
  <c r="AY522" i="3"/>
  <c r="AY19" i="3"/>
  <c r="AY315" i="3"/>
  <c r="AY71" i="3"/>
  <c r="AY386" i="3"/>
  <c r="AY521" i="3"/>
  <c r="AY66" i="3"/>
  <c r="AY131" i="3"/>
  <c r="AY371" i="3"/>
  <c r="AY284" i="3"/>
  <c r="AY26" i="3"/>
  <c r="AY463" i="3"/>
  <c r="AY92" i="3"/>
  <c r="AY185" i="3"/>
  <c r="AY247" i="3"/>
  <c r="AY109" i="3"/>
  <c r="AY259" i="3"/>
  <c r="AY316" i="3"/>
  <c r="AY207" i="3"/>
  <c r="AY236" i="3"/>
  <c r="AY252" i="3"/>
  <c r="AY342" i="3"/>
  <c r="AY77" i="3"/>
  <c r="AY299" i="3"/>
  <c r="AY41" i="3"/>
  <c r="AY317" i="3"/>
  <c r="AY581" i="3"/>
  <c r="AY16" i="3"/>
  <c r="AY334" i="3"/>
  <c r="AY311" i="3"/>
  <c r="AY68" i="3"/>
  <c r="AY271" i="3"/>
  <c r="AY57" i="3"/>
  <c r="AY308" i="3"/>
  <c r="AY527" i="3"/>
  <c r="AY81" i="3"/>
  <c r="AY412" i="3"/>
  <c r="AY436" i="3"/>
  <c r="AY52" i="3"/>
  <c r="AY238" i="3"/>
  <c r="AY181" i="3"/>
  <c r="AY483" i="3"/>
  <c r="AY543" i="3"/>
  <c r="AY48" i="3"/>
  <c r="AY251" i="3"/>
  <c r="AY312" i="3"/>
  <c r="AY439" i="3"/>
  <c r="AY565" i="3"/>
  <c r="AY46" i="3"/>
  <c r="AY249" i="3"/>
  <c r="AY152" i="3"/>
  <c r="AY228" i="3"/>
  <c r="AY138" i="3"/>
  <c r="AY290" i="3"/>
  <c r="AY495" i="3"/>
  <c r="AY244" i="3"/>
  <c r="AY146" i="3"/>
  <c r="AY356" i="3"/>
  <c r="AY577" i="3"/>
  <c r="AY212" i="3"/>
  <c r="AY286" i="3"/>
  <c r="AY341" i="3"/>
  <c r="AY519" i="3"/>
  <c r="AY313" i="3"/>
  <c r="D3" i="6"/>
  <c r="AY167" i="3"/>
  <c r="AY456" i="3"/>
  <c r="AY91" i="3"/>
  <c r="AY128" i="3"/>
  <c r="AY338" i="3"/>
  <c r="AY511" i="3"/>
  <c r="AY218" i="3"/>
  <c r="AY17" i="3"/>
  <c r="AY203" i="3"/>
  <c r="AY440" i="3"/>
  <c r="AY272" i="3"/>
  <c r="AY567" i="3"/>
  <c r="AY337" i="3"/>
  <c r="AY515" i="3"/>
  <c r="AY301" i="3"/>
  <c r="AY547" i="3"/>
  <c r="AY351" i="3"/>
  <c r="AY95" i="3"/>
  <c r="AY470" i="3"/>
  <c r="AY201" i="3"/>
  <c r="AY177" i="3"/>
  <c r="AY585" i="3"/>
  <c r="AY199" i="3"/>
  <c r="AY182" i="3"/>
  <c r="AY150" i="3"/>
  <c r="AY556" i="3"/>
  <c r="AY116" i="3"/>
  <c r="AY193" i="3"/>
  <c r="AY215" i="3"/>
  <c r="AY514" i="3"/>
  <c r="AY223" i="3"/>
  <c r="AY499" i="3"/>
  <c r="AY187" i="3"/>
  <c r="AY314" i="3"/>
  <c r="AY587" i="3"/>
  <c r="AY159" i="3"/>
  <c r="AY367" i="3"/>
  <c r="BC6" i="3"/>
  <c r="AY235" i="3"/>
  <c r="AY418" i="3"/>
  <c r="AY30" i="3"/>
  <c r="AY482" i="3"/>
  <c r="AY175" i="3"/>
  <c r="AY583" i="3"/>
  <c r="AY250" i="3"/>
  <c r="AY445" i="3"/>
  <c r="AY551" i="3"/>
  <c r="AY151" i="3"/>
  <c r="AY451" i="3"/>
  <c r="AY200" i="3"/>
  <c r="AY443" i="3"/>
  <c r="AY43" i="3"/>
  <c r="AY232" i="3"/>
  <c r="AY481" i="3"/>
  <c r="AY49" i="3"/>
  <c r="AY227" i="3"/>
  <c r="AY189" i="3"/>
  <c r="AY509" i="3"/>
  <c r="AY221" i="3"/>
  <c r="AY55" i="3"/>
  <c r="AY241" i="3"/>
  <c r="AY586" i="3"/>
  <c r="AY336" i="3"/>
  <c r="AY120" i="3"/>
  <c r="AY576" i="3"/>
  <c r="AY21" i="3"/>
  <c r="AY23" i="3"/>
  <c r="AY276" i="3"/>
  <c r="AY50" i="3"/>
  <c r="AY319" i="3"/>
  <c r="AY300" i="3"/>
  <c r="AY401" i="3"/>
  <c r="AY61" i="3"/>
  <c r="AY165" i="3"/>
  <c r="AY219" i="3"/>
  <c r="AY73" i="3"/>
  <c r="AY242" i="3"/>
  <c r="AY472" i="3"/>
  <c r="AY124" i="3"/>
  <c r="AY366" i="3"/>
  <c r="AY428" i="3"/>
  <c r="AY452" i="3"/>
  <c r="AY60" i="3"/>
  <c r="AY246" i="3"/>
  <c r="AY197" i="3"/>
  <c r="AY491" i="3"/>
  <c r="AY561" i="3"/>
  <c r="AY98" i="3"/>
  <c r="AY444" i="3"/>
  <c r="AY535" i="3"/>
  <c r="AY25" i="3"/>
  <c r="AY254" i="3"/>
  <c r="AY130" i="3"/>
  <c r="AY464" i="3"/>
  <c r="AY559" i="3"/>
  <c r="AY132" i="3"/>
  <c r="AY557" i="3"/>
  <c r="AY162" i="3"/>
  <c r="AY384" i="3"/>
  <c r="AY121" i="3"/>
  <c r="AY406" i="3"/>
  <c r="AY494" i="3"/>
  <c r="AY194" i="3"/>
  <c r="AY380" i="3"/>
  <c r="AY471" i="3"/>
  <c r="AY407" i="3"/>
  <c r="AY570" i="3"/>
  <c r="AY192" i="3"/>
  <c r="AY303" i="3"/>
  <c r="AY465" i="3"/>
  <c r="AY294" i="3"/>
  <c r="AY488" i="3"/>
  <c r="AY501" i="3"/>
  <c r="AY222" i="3"/>
  <c r="AY467" i="3"/>
  <c r="AY573" i="3"/>
  <c r="AY480" i="3"/>
  <c r="AY487" i="3"/>
  <c r="AY437" i="3"/>
  <c r="AY490" i="3"/>
  <c r="AY575" i="3"/>
  <c r="AY248" i="3"/>
  <c r="AY358" i="3"/>
  <c r="AY355" i="3"/>
  <c r="AY343" i="3"/>
  <c r="AY328" i="3"/>
  <c r="AY86" i="3"/>
  <c r="AY385" i="3"/>
  <c r="AY208" i="3"/>
  <c r="BP6" i="3"/>
  <c r="BT6" i="3"/>
  <c r="AY545" i="3"/>
  <c r="AY96" i="3"/>
  <c r="AY504" i="3"/>
  <c r="AY143" i="3"/>
  <c r="AY375" i="3"/>
  <c r="AY54" i="3"/>
  <c r="AY118" i="3"/>
  <c r="AY126" i="3"/>
  <c r="AY270" i="3"/>
  <c r="AY502" i="3"/>
  <c r="AY119" i="3"/>
  <c r="AY564" i="3"/>
  <c r="AY64" i="3"/>
  <c r="AY265" i="3"/>
  <c r="AY111" i="3"/>
  <c r="AY112" i="3"/>
  <c r="AY424" i="3"/>
  <c r="AY421" i="3"/>
  <c r="AY402" i="3"/>
  <c r="AY476" i="3"/>
  <c r="AY477" i="3"/>
  <c r="AY210" i="3"/>
  <c r="AY340" i="3"/>
  <c r="AY324" i="3"/>
  <c r="AY127" i="3"/>
  <c r="AY306" i="3"/>
  <c r="AY140" i="3"/>
  <c r="AY361" i="3"/>
  <c r="AY500" i="3"/>
  <c r="BG6" i="3"/>
  <c r="AY176" i="3"/>
  <c r="AY289" i="3"/>
  <c r="AY310" i="3"/>
  <c r="AY154" i="3"/>
  <c r="AY56" i="3"/>
  <c r="AY188" i="3"/>
  <c r="AY209" i="3"/>
  <c r="AY549" i="3"/>
  <c r="AY283" i="3"/>
  <c r="AY295" i="3"/>
  <c r="AY297" i="3"/>
  <c r="AY441" i="3"/>
  <c r="AY97" i="3"/>
  <c r="AY230" i="3"/>
  <c r="AY353" i="3"/>
  <c r="AY335" i="3"/>
  <c r="AY260" i="3"/>
  <c r="AY44" i="3"/>
  <c r="AY360" i="3"/>
  <c r="C12" i="71"/>
  <c r="D13" i="71"/>
  <c r="B11" i="71"/>
  <c r="B10" i="71" s="1"/>
  <c r="B9" i="71" s="1"/>
  <c r="B8" i="71" s="1"/>
  <c r="B7" i="71" s="1"/>
  <c r="B6" i="71" s="1"/>
  <c r="B5" i="71" s="1"/>
  <c r="S12" i="71"/>
  <c r="C44" i="69"/>
  <c r="D41" i="69" s="1"/>
  <c r="C23" i="11"/>
  <c r="C26" i="11"/>
  <c r="D22" i="11" s="1"/>
  <c r="C24" i="11"/>
  <c r="C26" i="69"/>
  <c r="D22" i="69" s="1"/>
  <c r="C44" i="68"/>
  <c r="D41" i="68" s="1"/>
  <c r="F41" i="68"/>
  <c r="C26" i="68"/>
  <c r="D22" i="68" s="1"/>
  <c r="E48" i="33"/>
  <c r="R49" i="33"/>
  <c r="U7" i="21"/>
  <c r="AB7" i="21"/>
  <c r="T48" i="21" s="1"/>
  <c r="G48" i="21" s="1"/>
  <c r="E41" i="43"/>
  <c r="G41" i="43"/>
  <c r="I41" i="43" s="1"/>
  <c r="S7" i="21"/>
  <c r="AA7" i="21"/>
  <c r="R48" i="21" s="1"/>
  <c r="I53" i="34"/>
  <c r="J53" i="34" s="1"/>
  <c r="G42" i="43"/>
  <c r="I42" i="43" s="1"/>
  <c r="E42" i="43"/>
  <c r="AC7" i="21"/>
  <c r="V48" i="21" s="1"/>
  <c r="I48" i="21" s="1"/>
  <c r="W7" i="21"/>
  <c r="R39" i="35"/>
  <c r="E38" i="35"/>
  <c r="E49" i="34"/>
  <c r="R50" i="34"/>
  <c r="F63" i="40"/>
  <c r="E65" i="40"/>
  <c r="G40" i="43"/>
  <c r="I40" i="43" s="1"/>
  <c r="E40" i="43"/>
  <c r="E39" i="43"/>
  <c r="G39" i="43"/>
  <c r="I39" i="43" s="1"/>
  <c r="E47" i="37"/>
  <c r="F47" i="37" s="1"/>
  <c r="E46" i="37"/>
  <c r="F46" i="37" s="1"/>
  <c r="G40" i="36"/>
  <c r="H40" i="36" s="1"/>
  <c r="G41" i="36"/>
  <c r="H41" i="36" s="1"/>
  <c r="G53" i="34"/>
  <c r="H53" i="34" s="1"/>
  <c r="G54" i="34"/>
  <c r="H54" i="34" s="1"/>
  <c r="G52" i="33"/>
  <c r="H52" i="33" s="1"/>
  <c r="G53" i="33"/>
  <c r="H53" i="33" s="1"/>
  <c r="G43" i="35"/>
  <c r="H43" i="35" s="1"/>
  <c r="G42" i="35"/>
  <c r="H42" i="35" s="1"/>
  <c r="E36" i="36"/>
  <c r="R37" i="36"/>
  <c r="G38" i="43"/>
  <c r="I38" i="43" s="1"/>
  <c r="E38" i="43"/>
  <c r="E37" i="43"/>
  <c r="G37" i="43"/>
  <c r="I37" i="43" s="1"/>
  <c r="E33" i="43"/>
  <c r="C30" i="43" s="1"/>
  <c r="C34" i="43"/>
  <c r="E34" i="43" s="1"/>
  <c r="AC7" i="33"/>
  <c r="V48" i="33" s="1"/>
  <c r="I48" i="33" s="1"/>
  <c r="W7" i="33"/>
  <c r="I42" i="35"/>
  <c r="J42" i="35" s="1"/>
  <c r="I43" i="35"/>
  <c r="J43" i="35" s="1"/>
  <c r="C42" i="37"/>
  <c r="C43" i="37"/>
  <c r="I40" i="36"/>
  <c r="J40" i="36" s="1"/>
  <c r="I41" i="36"/>
  <c r="J41" i="36" s="1"/>
  <c r="C66" i="67"/>
  <c r="C66" i="15"/>
  <c r="J24" i="15"/>
  <c r="J26" i="15"/>
  <c r="J29" i="15" s="1"/>
  <c r="P37" i="43"/>
  <c r="C66" i="83"/>
  <c r="C38" i="83"/>
  <c r="C38" i="15"/>
  <c r="M37" i="43" l="1"/>
  <c r="O37" i="43"/>
  <c r="Q37" i="43"/>
  <c r="D17" i="12"/>
  <c r="C17" i="12" s="1"/>
  <c r="C14" i="12"/>
  <c r="C16" i="12" s="1"/>
  <c r="C11" i="71"/>
  <c r="T12" i="71"/>
  <c r="D12" i="71"/>
  <c r="U12" i="71" s="1"/>
  <c r="D10" i="68"/>
  <c r="D10" i="11"/>
  <c r="C10" i="11" s="1"/>
  <c r="D20" i="12"/>
  <c r="C20" i="12" s="1"/>
  <c r="C18" i="12" s="1"/>
  <c r="K16" i="1"/>
  <c r="J69" i="39"/>
  <c r="K67" i="39"/>
  <c r="H24" i="6"/>
  <c r="D23" i="6"/>
  <c r="D20" i="6"/>
  <c r="D24" i="6"/>
  <c r="R24" i="6" s="1"/>
  <c r="D28" i="6"/>
  <c r="D15" i="6"/>
  <c r="D29" i="6"/>
  <c r="D25" i="6"/>
  <c r="D10" i="6"/>
  <c r="D12" i="6"/>
  <c r="H21" i="6"/>
  <c r="H26" i="6"/>
  <c r="H23" i="6"/>
  <c r="E61" i="40"/>
  <c r="C18" i="4"/>
  <c r="D19" i="6"/>
  <c r="H25" i="6"/>
  <c r="H22" i="6"/>
  <c r="D9" i="6"/>
  <c r="D8" i="6"/>
  <c r="D26" i="6"/>
  <c r="H20" i="6"/>
  <c r="D22" i="6"/>
  <c r="R22" i="6" s="1"/>
  <c r="D21" i="6"/>
  <c r="R21" i="6" s="1"/>
  <c r="D14" i="6"/>
  <c r="D11" i="6"/>
  <c r="D13" i="6"/>
  <c r="D6" i="6"/>
  <c r="D5" i="6"/>
  <c r="M19" i="6"/>
  <c r="S6" i="1"/>
  <c r="K27" i="6"/>
  <c r="C34" i="68"/>
  <c r="N16" i="1"/>
  <c r="C34" i="11"/>
  <c r="L16" i="1"/>
  <c r="C20" i="11"/>
  <c r="C25" i="11" s="1"/>
  <c r="C22" i="11" s="1"/>
  <c r="C31" i="11" s="1"/>
  <c r="C28" i="11"/>
  <c r="C27" i="11" s="1"/>
  <c r="C31" i="43"/>
  <c r="E52" i="33"/>
  <c r="F52" i="33" s="1"/>
  <c r="E53" i="33"/>
  <c r="F53" i="33" s="1"/>
  <c r="C49" i="34"/>
  <c r="C50" i="34"/>
  <c r="B2" i="43"/>
  <c r="I52" i="21"/>
  <c r="J52" i="21" s="1"/>
  <c r="C37" i="36"/>
  <c r="C36" i="36"/>
  <c r="E42" i="35"/>
  <c r="F42" i="35" s="1"/>
  <c r="E43" i="35"/>
  <c r="F43" i="35" s="1"/>
  <c r="E48" i="21"/>
  <c r="R49" i="21"/>
  <c r="G53" i="21"/>
  <c r="H53" i="21" s="1"/>
  <c r="G52" i="21"/>
  <c r="H52" i="21" s="1"/>
  <c r="E54" i="34"/>
  <c r="F54" i="34" s="1"/>
  <c r="E53" i="34"/>
  <c r="F53" i="34" s="1"/>
  <c r="I54" i="34"/>
  <c r="J54" i="34" s="1"/>
  <c r="I52" i="33"/>
  <c r="J52" i="33" s="1"/>
  <c r="I53" i="33"/>
  <c r="J53" i="33" s="1"/>
  <c r="E40" i="36"/>
  <c r="F40" i="36" s="1"/>
  <c r="E41" i="36"/>
  <c r="F41" i="36" s="1"/>
  <c r="G63" i="40"/>
  <c r="F65" i="40"/>
  <c r="C38" i="35"/>
  <c r="C39" i="35"/>
  <c r="M3" i="35" s="1"/>
  <c r="C48" i="33"/>
  <c r="C49" i="33"/>
  <c r="E6" i="76"/>
  <c r="B6" i="76"/>
  <c r="C17" i="67"/>
  <c r="D10" i="69"/>
  <c r="C17" i="15"/>
  <c r="C17" i="83"/>
  <c r="C14" i="67"/>
  <c r="C34" i="69"/>
  <c r="C21" i="12" l="1"/>
  <c r="C38" i="69"/>
  <c r="C35" i="69"/>
  <c r="C15" i="67"/>
  <c r="C19" i="67" s="1"/>
  <c r="C18" i="67"/>
  <c r="D19" i="69"/>
  <c r="C10" i="69"/>
  <c r="C8" i="69" s="1"/>
  <c r="C5" i="69" s="1"/>
  <c r="C38" i="11"/>
  <c r="C33" i="11" s="1"/>
  <c r="C35" i="11"/>
  <c r="K69" i="39"/>
  <c r="L67" i="39"/>
  <c r="D27" i="6"/>
  <c r="M19" i="9"/>
  <c r="C118" i="9" s="1"/>
  <c r="F50" i="68"/>
  <c r="F50" i="69"/>
  <c r="F50" i="11"/>
  <c r="S16" i="1"/>
  <c r="AR6" i="1"/>
  <c r="T6" i="1"/>
  <c r="E6" i="70"/>
  <c r="E2" i="70" s="1"/>
  <c r="AQ6" i="1"/>
  <c r="A10" i="51"/>
  <c r="B9" i="72" s="1"/>
  <c r="A7" i="51"/>
  <c r="B7" i="72" s="1"/>
  <c r="C4" i="52"/>
  <c r="B45" i="72" s="1"/>
  <c r="C10" i="68"/>
  <c r="D19" i="68"/>
  <c r="C10" i="71"/>
  <c r="D11" i="71"/>
  <c r="C38" i="68"/>
  <c r="C35" i="68"/>
  <c r="M27" i="6"/>
  <c r="I19" i="6"/>
  <c r="D16" i="6"/>
  <c r="R20" i="6"/>
  <c r="R23" i="6"/>
  <c r="R26" i="6"/>
  <c r="R25" i="6"/>
  <c r="D30" i="6"/>
  <c r="E2" i="76"/>
  <c r="B2" i="76"/>
  <c r="B3" i="43"/>
  <c r="C48" i="21"/>
  <c r="C49" i="21"/>
  <c r="B3" i="21" s="1"/>
  <c r="E53" i="21"/>
  <c r="F53" i="21" s="1"/>
  <c r="E52" i="21"/>
  <c r="F52" i="21" s="1"/>
  <c r="G65" i="40"/>
  <c r="H63" i="40"/>
  <c r="I53" i="21"/>
  <c r="J53" i="21" s="1"/>
  <c r="C14" i="15"/>
  <c r="C14" i="83"/>
  <c r="C20" i="9"/>
  <c r="C22" i="12" l="1"/>
  <c r="C27" i="12" s="1"/>
  <c r="C25" i="12" s="1"/>
  <c r="C18" i="83"/>
  <c r="C15" i="83"/>
  <c r="C19" i="83" s="1"/>
  <c r="C15" i="15"/>
  <c r="C18" i="15"/>
  <c r="C39" i="11"/>
  <c r="C43" i="11" s="1"/>
  <c r="C46" i="11"/>
  <c r="C45" i="11" s="1"/>
  <c r="C42" i="11"/>
  <c r="C20" i="67"/>
  <c r="C23" i="67" s="1"/>
  <c r="C23" i="69"/>
  <c r="S19" i="6"/>
  <c r="S27" i="6" s="1"/>
  <c r="I27" i="6"/>
  <c r="H19" i="6"/>
  <c r="L18" i="9"/>
  <c r="D10" i="71"/>
  <c r="C9" i="71"/>
  <c r="C19" i="68"/>
  <c r="D37" i="68"/>
  <c r="C37" i="68" s="1"/>
  <c r="C33" i="68" s="1"/>
  <c r="D37" i="69"/>
  <c r="C37" i="69" s="1"/>
  <c r="C33" i="69" s="1"/>
  <c r="C19" i="69"/>
  <c r="M67" i="39"/>
  <c r="L69" i="39"/>
  <c r="T16" i="1"/>
  <c r="D31" i="6"/>
  <c r="B3" i="76"/>
  <c r="C19" i="9"/>
  <c r="C103" i="9"/>
  <c r="H65" i="40"/>
  <c r="I63" i="40"/>
  <c r="C30" i="12" l="1"/>
  <c r="C28" i="12" s="1"/>
  <c r="C32" i="12" s="1"/>
  <c r="B2" i="12" s="1"/>
  <c r="B3" i="12" s="1"/>
  <c r="C19" i="15"/>
  <c r="C20" i="15"/>
  <c r="C23" i="15" s="1"/>
  <c r="C26" i="15"/>
  <c r="I6" i="6"/>
  <c r="I5" i="6"/>
  <c r="C24" i="69"/>
  <c r="C8" i="71"/>
  <c r="D9" i="71"/>
  <c r="C26" i="67"/>
  <c r="C29" i="67" s="1"/>
  <c r="C39" i="69"/>
  <c r="C42" i="69"/>
  <c r="C20" i="83"/>
  <c r="C23" i="83" s="1"/>
  <c r="C20" i="69"/>
  <c r="C28" i="69" s="1"/>
  <c r="C27" i="69" s="1"/>
  <c r="C42" i="68"/>
  <c r="C39" i="68"/>
  <c r="N67" i="39"/>
  <c r="M69" i="39"/>
  <c r="C24" i="68"/>
  <c r="C20" i="68"/>
  <c r="C28" i="68" s="1"/>
  <c r="C27" i="68" s="1"/>
  <c r="H27" i="6"/>
  <c r="L19" i="9"/>
  <c r="C21" i="9" s="1"/>
  <c r="R19" i="6"/>
  <c r="C41" i="11"/>
  <c r="C49" i="11" s="1"/>
  <c r="C51" i="11" s="1"/>
  <c r="J63" i="40"/>
  <c r="I65" i="40"/>
  <c r="C102" i="9"/>
  <c r="C29" i="15" l="1"/>
  <c r="C26" i="83"/>
  <c r="C29" i="83" s="1"/>
  <c r="C52" i="11"/>
  <c r="B2" i="11" s="1"/>
  <c r="B3" i="11" s="1"/>
  <c r="C56" i="11"/>
  <c r="C57" i="11" s="1"/>
  <c r="C43" i="68"/>
  <c r="C41" i="68" s="1"/>
  <c r="C43" i="69"/>
  <c r="C41" i="69" s="1"/>
  <c r="C57" i="67"/>
  <c r="C64" i="67" s="1"/>
  <c r="J14" i="67"/>
  <c r="C13" i="67"/>
  <c r="Q49" i="67"/>
  <c r="C36" i="67"/>
  <c r="O67" i="39"/>
  <c r="O69" i="39" s="1"/>
  <c r="N69" i="39"/>
  <c r="C46" i="69"/>
  <c r="C45" i="69" s="1"/>
  <c r="Q49" i="15"/>
  <c r="C36" i="15"/>
  <c r="C57" i="15"/>
  <c r="C64" i="15" s="1"/>
  <c r="J14" i="15"/>
  <c r="C13" i="15"/>
  <c r="C36" i="83"/>
  <c r="Q49" i="83"/>
  <c r="C13" i="83"/>
  <c r="J14" i="83"/>
  <c r="C57" i="83"/>
  <c r="C64" i="83" s="1"/>
  <c r="R6" i="1"/>
  <c r="R27" i="6"/>
  <c r="C25" i="68"/>
  <c r="C22" i="68" s="1"/>
  <c r="C31" i="68" s="1"/>
  <c r="C46" i="68"/>
  <c r="C45" i="68" s="1"/>
  <c r="C25" i="69"/>
  <c r="C22" i="69" s="1"/>
  <c r="C31" i="69" s="1"/>
  <c r="C7" i="71"/>
  <c r="D8" i="71"/>
  <c r="K63" i="40"/>
  <c r="J65" i="40"/>
  <c r="M21" i="83"/>
  <c r="F35" i="67"/>
  <c r="M21" i="67"/>
  <c r="F35" i="15"/>
  <c r="M21" i="15"/>
  <c r="F35" i="83"/>
  <c r="C49" i="69" l="1"/>
  <c r="C51" i="69" s="1"/>
  <c r="C49" i="68"/>
  <c r="C51" i="68" s="1"/>
  <c r="F63" i="83"/>
  <c r="J20" i="15"/>
  <c r="F63" i="15"/>
  <c r="J20" i="67"/>
  <c r="F63" i="67"/>
  <c r="J20" i="83"/>
  <c r="Q70" i="67"/>
  <c r="C37" i="67"/>
  <c r="C30" i="67" s="1"/>
  <c r="C39" i="67" s="1"/>
  <c r="C75" i="67"/>
  <c r="C56" i="67"/>
  <c r="C65" i="67" s="1"/>
  <c r="C58" i="67" s="1"/>
  <c r="C67" i="67" s="1"/>
  <c r="C68" i="67" s="1"/>
  <c r="C52" i="69"/>
  <c r="B2" i="69" s="1"/>
  <c r="J22" i="83"/>
  <c r="J13" i="83"/>
  <c r="J23" i="83" s="1"/>
  <c r="C75" i="15"/>
  <c r="C80" i="15" s="1"/>
  <c r="C79" i="15" s="1"/>
  <c r="C56" i="15"/>
  <c r="C65" i="15" s="1"/>
  <c r="C58" i="15" s="1"/>
  <c r="C67" i="15" s="1"/>
  <c r="C68" i="15" s="1"/>
  <c r="C37" i="15"/>
  <c r="C30" i="15" s="1"/>
  <c r="C39" i="15" s="1"/>
  <c r="Q70" i="15"/>
  <c r="H7" i="39"/>
  <c r="J7" i="39"/>
  <c r="F7" i="39"/>
  <c r="Q70" i="83"/>
  <c r="C75" i="83"/>
  <c r="C56" i="83"/>
  <c r="C65" i="83" s="1"/>
  <c r="C58" i="83" s="1"/>
  <c r="C67" i="83" s="1"/>
  <c r="C68" i="83" s="1"/>
  <c r="C71" i="83" s="1"/>
  <c r="C37" i="83"/>
  <c r="C30" i="83" s="1"/>
  <c r="C39" i="83" s="1"/>
  <c r="J22" i="15"/>
  <c r="J13" i="15"/>
  <c r="J23" i="15" s="1"/>
  <c r="R16" i="1"/>
  <c r="D7" i="71"/>
  <c r="C6" i="71"/>
  <c r="C52" i="68"/>
  <c r="B2" i="68" s="1"/>
  <c r="B3" i="68" s="1"/>
  <c r="J13" i="67"/>
  <c r="J23" i="67" s="1"/>
  <c r="J22" i="67"/>
  <c r="K65" i="40"/>
  <c r="L63" i="40"/>
  <c r="B3" i="69"/>
  <c r="C80" i="67" l="1"/>
  <c r="C79" i="67" s="1"/>
  <c r="C57" i="69"/>
  <c r="C56" i="69" s="1"/>
  <c r="J16" i="67"/>
  <c r="J25" i="67" s="1"/>
  <c r="U7" i="39"/>
  <c r="AB7" i="39"/>
  <c r="T47" i="39" s="1"/>
  <c r="G47" i="39" s="1"/>
  <c r="G51" i="39" s="1"/>
  <c r="H51" i="39" s="1"/>
  <c r="C71" i="67"/>
  <c r="C40" i="83"/>
  <c r="Q69" i="83"/>
  <c r="Q68" i="83" s="1"/>
  <c r="C80" i="83"/>
  <c r="C79" i="83" s="1"/>
  <c r="C5" i="71"/>
  <c r="D6" i="71"/>
  <c r="J16" i="15"/>
  <c r="J25" i="15" s="1"/>
  <c r="C57" i="68"/>
  <c r="C56" i="68" s="1"/>
  <c r="AA7" i="39"/>
  <c r="R47" i="39" s="1"/>
  <c r="S7" i="39"/>
  <c r="Q69" i="15"/>
  <c r="Q68" i="15" s="1"/>
  <c r="C40" i="15"/>
  <c r="J16" i="83"/>
  <c r="J25" i="83" s="1"/>
  <c r="C40" i="67"/>
  <c r="Q69" i="67"/>
  <c r="Q68" i="67" s="1"/>
  <c r="AC7" i="39"/>
  <c r="V47" i="39" s="1"/>
  <c r="I47" i="39" s="1"/>
  <c r="W7" i="39"/>
  <c r="C71" i="15"/>
  <c r="M63" i="40"/>
  <c r="L65" i="40"/>
  <c r="L51" i="83"/>
  <c r="L51" i="15"/>
  <c r="L51" i="67"/>
  <c r="Q67" i="67" l="1"/>
  <c r="L57" i="67"/>
  <c r="Q67" i="15"/>
  <c r="L57" i="15"/>
  <c r="L57" i="83"/>
  <c r="Q67" i="83"/>
  <c r="Q47" i="67"/>
  <c r="Q53" i="67" s="1"/>
  <c r="Q65" i="67"/>
  <c r="Q75" i="67" s="1"/>
  <c r="D2" i="67"/>
  <c r="Q56" i="67"/>
  <c r="Q62" i="67" s="1"/>
  <c r="C83" i="67"/>
  <c r="C82" i="67" s="1"/>
  <c r="C43" i="67"/>
  <c r="C45" i="67"/>
  <c r="C46" i="67" s="1"/>
  <c r="G52" i="39"/>
  <c r="H52" i="39" s="1"/>
  <c r="I51" i="39"/>
  <c r="J51" i="39" s="1"/>
  <c r="Q56" i="15"/>
  <c r="Q62" i="15" s="1"/>
  <c r="Q47" i="15"/>
  <c r="Q53" i="15" s="1"/>
  <c r="Q65" i="15"/>
  <c r="Q75" i="15" s="1"/>
  <c r="B2" i="15"/>
  <c r="C83" i="15"/>
  <c r="C82" i="15" s="1"/>
  <c r="C43" i="15"/>
  <c r="C46" i="83"/>
  <c r="Q65" i="83"/>
  <c r="Q75" i="83" s="1"/>
  <c r="C83" i="83"/>
  <c r="C82" i="83" s="1"/>
  <c r="B2" i="83"/>
  <c r="B3" i="83" s="1"/>
  <c r="Q47" i="83"/>
  <c r="Q53" i="83" s="1"/>
  <c r="C43" i="83"/>
  <c r="Q56" i="83"/>
  <c r="Q62" i="83" s="1"/>
  <c r="C46" i="15"/>
  <c r="E47" i="39"/>
  <c r="I52" i="39" s="1"/>
  <c r="J52" i="39" s="1"/>
  <c r="R48" i="39"/>
  <c r="D5" i="71"/>
  <c r="M24" i="43"/>
  <c r="N63" i="40"/>
  <c r="M65" i="40"/>
  <c r="AO6" i="1"/>
  <c r="D19" i="9"/>
  <c r="D21" i="9" l="1"/>
  <c r="D102" i="9"/>
  <c r="D22" i="9"/>
  <c r="G19" i="9"/>
  <c r="G21" i="9" s="1"/>
  <c r="B6" i="70"/>
  <c r="B2" i="70" s="1"/>
  <c r="B3" i="70" s="1"/>
  <c r="C47" i="39"/>
  <c r="C48" i="39"/>
  <c r="B3" i="15"/>
  <c r="E52" i="39"/>
  <c r="F52" i="39" s="1"/>
  <c r="E51" i="39"/>
  <c r="F51" i="39" s="1"/>
  <c r="B2" i="67"/>
  <c r="B3" i="67"/>
  <c r="F6" i="84" s="1"/>
  <c r="G6" i="84" s="1"/>
  <c r="O63" i="40"/>
  <c r="O65" i="40" s="1"/>
  <c r="N65" i="40"/>
  <c r="D20" i="9"/>
  <c r="D103" i="9" l="1"/>
  <c r="G20" i="9"/>
  <c r="B64" i="39"/>
  <c r="F64" i="39" s="1"/>
  <c r="B63" i="39"/>
  <c r="F63" i="39" s="1"/>
  <c r="B62" i="39"/>
  <c r="F62" i="39" s="1"/>
  <c r="B57" i="39"/>
  <c r="F57" i="39" s="1"/>
  <c r="B59" i="39"/>
  <c r="F59" i="39" s="1"/>
  <c r="B60" i="39"/>
  <c r="F60" i="39" s="1"/>
  <c r="B61" i="39"/>
  <c r="F61" i="39" s="1"/>
  <c r="B58" i="39"/>
  <c r="F58" i="39" s="1"/>
  <c r="B56" i="39"/>
  <c r="F56" i="39" s="1"/>
  <c r="F65" i="39" s="1"/>
  <c r="B2" i="39" s="1"/>
  <c r="B3" i="39" s="1"/>
  <c r="H7" i="40"/>
  <c r="F7" i="40"/>
  <c r="J7" i="40"/>
  <c r="G22" i="9" l="1"/>
  <c r="G12" i="84" s="1"/>
  <c r="C32" i="9"/>
  <c r="C35" i="9" s="1"/>
  <c r="C34" i="9" s="1"/>
  <c r="D14" i="74"/>
  <c r="G7" i="84"/>
  <c r="G8" i="84" s="1"/>
  <c r="AC7" i="40"/>
  <c r="V42" i="40" s="1"/>
  <c r="I42" i="40" s="1"/>
  <c r="W7" i="40"/>
  <c r="AA7" i="40"/>
  <c r="R42" i="40" s="1"/>
  <c r="S7" i="40"/>
  <c r="U7" i="40"/>
  <c r="AB7" i="40"/>
  <c r="T42" i="40" s="1"/>
  <c r="G42" i="40" s="1"/>
  <c r="G10" i="84" l="1"/>
  <c r="G9" i="84"/>
  <c r="E14" i="74"/>
  <c r="F14" i="74"/>
  <c r="B5" i="74"/>
  <c r="D5" i="74" s="1"/>
  <c r="G13" i="84"/>
  <c r="G14" i="84"/>
  <c r="G46" i="40"/>
  <c r="H46" i="40" s="1"/>
  <c r="G47" i="40"/>
  <c r="H47" i="40" s="1"/>
  <c r="R43" i="40"/>
  <c r="E42" i="40"/>
  <c r="I46" i="40"/>
  <c r="J46" i="40" s="1"/>
  <c r="E46" i="40" l="1"/>
  <c r="F46" i="40" s="1"/>
  <c r="E47" i="40"/>
  <c r="F47" i="40" s="1"/>
  <c r="C42" i="40"/>
  <c r="C43" i="40"/>
  <c r="I47" i="40"/>
  <c r="J47" i="40" s="1"/>
  <c r="B54" i="40" l="1"/>
  <c r="F54" i="40" s="1"/>
  <c r="B59" i="40"/>
  <c r="F59" i="40" s="1"/>
  <c r="B56" i="40"/>
  <c r="F56" i="40" s="1"/>
  <c r="B57" i="40"/>
  <c r="F57" i="40" s="1"/>
  <c r="F61" i="40"/>
  <c r="B2" i="40" s="1"/>
  <c r="B3" i="40" s="1"/>
  <c r="B58" i="40"/>
  <c r="F58" i="40" s="1"/>
  <c r="B52" i="40"/>
  <c r="F52" i="40" s="1"/>
  <c r="B51" i="40"/>
  <c r="F51" i="40" s="1"/>
  <c r="B60" i="40"/>
  <c r="F60" i="40" s="1"/>
  <c r="B53" i="40"/>
  <c r="F53" i="40" s="1"/>
  <c r="B20" i="72" l="1"/>
  <c r="C86" i="9"/>
  <c r="C73" i="9"/>
  <c r="C105" i="9"/>
  <c r="I4" i="52"/>
  <c r="N58" i="9"/>
  <c r="P57" i="9"/>
  <c r="D53" i="9"/>
  <c r="C78" i="9"/>
  <c r="C93" i="9"/>
  <c r="D52" i="9"/>
  <c r="H4" i="52"/>
  <c r="C104" i="9"/>
  <c r="E97" i="9"/>
  <c r="B30" i="72"/>
  <c r="B51" i="72"/>
  <c r="D8" i="52"/>
  <c r="D13" i="53"/>
  <c r="D14" i="53"/>
  <c r="B32" i="72"/>
  <c r="B47" i="72"/>
  <c r="M48" i="9"/>
  <c r="C68" i="9"/>
  <c r="D54" i="9"/>
  <c r="B49" i="72"/>
  <c r="G4" i="52"/>
  <c r="B52" i="72"/>
  <c r="D5" i="53"/>
  <c r="D6" i="53"/>
  <c r="B22" i="72"/>
  <c r="N61" i="9"/>
  <c r="N59" i="9"/>
  <c r="N60" i="9"/>
  <c r="E81" i="9"/>
  <c r="C6" i="74"/>
  <c r="C5" i="74"/>
  <c r="H119" i="9"/>
  <c r="H5" i="52"/>
  <c r="F4" i="52"/>
  <c r="B48" i="72"/>
  <c r="C81" i="9"/>
  <c r="D59" i="9"/>
  <c r="M55" i="9"/>
  <c r="H108" i="9"/>
  <c r="D15" i="53"/>
  <c r="B31" i="72"/>
  <c r="H102" i="9"/>
  <c r="D7" i="53"/>
  <c r="B21" i="72"/>
  <c r="D4" i="52"/>
  <c r="G118" i="9"/>
  <c r="F118" i="9"/>
  <c r="F119" i="9"/>
  <c r="F5" i="52"/>
  <c r="B53" i="72"/>
  <c r="E4" i="52"/>
  <c r="C64" i="9"/>
  <c r="C63" i="9"/>
  <c r="C67" i="9"/>
  <c r="C96" i="9"/>
  <c r="E96" i="9"/>
  <c r="D55" i="9"/>
  <c r="M53" i="9"/>
  <c r="N57" i="9"/>
  <c r="E118" i="9"/>
  <c r="D118" i="9"/>
  <c r="D119" i="9"/>
  <c r="D5" i="52"/>
  <c r="M54" i="9"/>
  <c r="H107" i="9"/>
  <c r="D122" i="9"/>
  <c r="D123" i="9"/>
  <c r="D9" i="52"/>
  <c r="C85" i="9"/>
  <c r="C95" i="9"/>
  <c r="C97" i="9"/>
  <c r="D58" i="9"/>
  <c r="D56"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<sst xmlns="http://schemas.openxmlformats.org/spreadsheetml/2006/main" count="8637" uniqueCount="3623">
  <si>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</si>
  <si>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</si>
  <si>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</si>
  <si>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</si>
  <si>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</si>
  <si>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</si>
  <si>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</si>
  <si>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</si>
  <si>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</si>
  <si>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</si>
  <si>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</si>
  <si>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</si>
  <si>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</si>
  <si>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</si>
  <si>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</si>
  <si>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</si>
  <si>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</si>
  <si>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</si>
  <si>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</si>
  <si>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</si>
  <si>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</si>
  <si>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</si>
  <si>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</si>
  <si>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</si>
  <si>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</si>
  <si>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</si>
  <si>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</si>
  <si>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</si>
  <si>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</si>
  <si>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</si>
  <si>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</si>
  <si>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</si>
  <si>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</si>
  <si>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</si>
  <si>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</si>
  <si>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</si>
  <si>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</si>
  <si>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</si>
  <si>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</si>
  <si>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</si>
  <si>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</si>
  <si>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</si>
  <si>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</si>
  <si>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</si>
  <si>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</si>
  <si>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</si>
  <si>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</si>
  <si>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</si>
  <si>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</si>
  <si>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</si>
  <si>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</si>
  <si>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</si>
  <si>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</si>
  <si>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</si>
  <si>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</si>
  <si>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</si>
  <si>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</si>
  <si>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</si>
  <si>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</si>
  <si>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</si>
  <si>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</si>
  <si>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</si>
  <si>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</si>
  <si>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</si>
  <si>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</si>
  <si>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</si>
  <si>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</si>
  <si>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</si>
  <si>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</si>
  <si>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</si>
  <si>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</si>
  <si>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</si>
  <si>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</si>
  <si>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</si>
  <si>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</si>
  <si>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</si>
  <si>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</si>
  <si>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</si>
  <si>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</si>
  <si>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</si>
  <si>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</si>
  <si>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</si>
  <si>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</si>
  <si>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</si>
  <si>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</si>
  <si>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</si>
  <si>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</si>
  <si>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</si>
  <si>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</si>
  <si>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</si>
  <si>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</si>
  <si>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</si>
  <si>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</si>
  <si>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</si>
  <si>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</si>
  <si>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</si>
  <si>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</si>
  <si>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</si>
  <si>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</si>
  <si>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</si>
  <si>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</si>
  <si>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</si>
  <si>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</si>
  <si>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</si>
  <si>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</si>
  <si>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</si>
  <si>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</si>
  <si>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</si>
  <si>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</si>
  <si>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</si>
  <si>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</si>
  <si>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</si>
  <si>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</si>
  <si>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</si>
  <si>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</si>
  <si>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</si>
  <si>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</si>
  <si>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</si>
  <si>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</si>
  <si>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</si>
  <si>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</si>
  <si>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</si>
  <si>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</si>
  <si>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</si>
  <si>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</si>
  <si>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</si>
  <si>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</si>
  <si>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</si>
  <si>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</si>
  <si>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</si>
  <si>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</si>
  <si>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</si>
  <si>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</si>
  <si>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</si>
  <si>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</si>
  <si>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</si>
  <si>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</si>
  <si>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</si>
  <si>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</si>
  <si>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</si>
  <si>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</si>
  <si>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</si>
  <si>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</si>
  <si>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</si>
  <si>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</si>
  <si>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</si>
  <si>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</si>
  <si>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</si>
  <si>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</si>
  <si>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</si>
  <si>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</si>
  <si>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</si>
  <si>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</si>
  <si>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</si>
  <si>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</si>
  <si>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</si>
  <si>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</si>
  <si>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</si>
  <si>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</si>
  <si>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</si>
  <si>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</si>
  <si>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</si>
  <si>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</si>
  <si>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</si>
  <si>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</si>
  <si>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</si>
  <si>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</si>
  <si>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</si>
  <si>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</si>
  <si>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</si>
  <si>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</si>
  <si>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</si>
  <si>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</si>
  <si>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</si>
  <si>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</si>
  <si>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</si>
  <si>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</si>
  <si>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</si>
  <si>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</si>
  <si>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</si>
  <si>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</si>
  <si>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</si>
  <si>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</si>
  <si>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</si>
  <si>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</si>
  <si>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</si>
  <si>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</si>
  <si>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</si>
  <si>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</si>
  <si>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</si>
  <si>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</si>
  <si>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</si>
  <si>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</si>
  <si>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</si>
  <si>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</si>
  <si>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</si>
  <si>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</si>
  <si>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</si>
  <si>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</si>
  <si>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</si>
  <si>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</si>
  <si>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</si>
  <si>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</si>
  <si>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</si>
  <si>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</si>
  <si>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</si>
  <si>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</si>
  <si>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</si>
  <si>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</si>
  <si>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</si>
  <si>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</si>
  <si>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</si>
  <si>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</si>
  <si>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</si>
  <si>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</si>
  <si>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</si>
  <si>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</si>
  <si>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</si>
  <si>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</si>
  <si>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</si>
  <si>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</si>
  <si>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</si>
  <si>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</si>
  <si>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</si>
  <si>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</si>
  <si>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</si>
  <si>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</si>
  <si>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</si>
  <si>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</si>
  <si>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</si>
  <si>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</si>
  <si>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</si>
  <si>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</si>
  <si>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</si>
  <si>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</si>
  <si>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</si>
  <si>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</si>
  <si>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</si>
  <si>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</si>
  <si>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</si>
  <si>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</si>
  <si>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</si>
  <si>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</si>
  <si>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</si>
  <si>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</si>
  <si>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</si>
  <si>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</si>
  <si>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</si>
  <si>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</si>
  <si>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</si>
  <si>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</si>
  <si>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</si>
  <si>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</si>
  <si>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</si>
  <si>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</si>
  <si>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</si>
  <si>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</si>
  <si>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</si>
  <si>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</si>
  <si>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</si>
  <si>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</si>
  <si>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</si>
  <si>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</si>
  <si>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</si>
  <si>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</si>
  <si>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</si>
  <si>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</si>
  <si>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</si>
  <si>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</si>
  <si>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</si>
  <si>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</si>
  <si>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</si>
  <si>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</si>
  <si>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</si>
  <si>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</si>
  <si>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</si>
  <si>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</si>
  <si>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</si>
  <si>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</si>
  <si>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</si>
  <si>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</si>
  <si>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</si>
  <si>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</si>
  <si>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</si>
  <si>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</si>
  <si>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</si>
  <si>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</si>
  <si>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</si>
  <si>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</si>
  <si>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</si>
  <si>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</si>
  <si>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</si>
  <si>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</si>
  <si>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</si>
  <si>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</si>
  <si>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</si>
  <si>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</si>
  <si>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</si>
  <si>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</si>
  <si>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</si>
  <si>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</si>
  <si>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</si>
  <si>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</si>
  <si>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</si>
  <si>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</si>
  <si>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</si>
  <si>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</si>
  <si>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</si>
  <si>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</si>
  <si>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</si>
  <si>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</si>
  <si>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</si>
  <si>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</si>
  <si>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</si>
  <si>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</si>
  <si>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</si>
  <si>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</si>
  <si>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</si>
  <si>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</si>
  <si>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</si>
  <si>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</si>
  <si>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</si>
  <si>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</si>
  <si>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</si>
  <si>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</si>
  <si>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</si>
  <si>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</si>
  <si>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</si>
  <si>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</si>
  <si>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</si>
  <si>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</si>
  <si>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</si>
  <si>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</si>
  <si>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</si>
  <si>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</si>
  <si>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</si>
  <si>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</si>
  <si>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</si>
  <si>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</si>
  <si>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</si>
  <si>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</si>
  <si>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</si>
  <si>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</si>
  <si>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</si>
  <si>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</si>
  <si>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</si>
  <si>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</si>
  <si>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</si>
  <si>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</si>
  <si>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</si>
  <si>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</si>
  <si>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</si>
  <si>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</si>
  <si>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</si>
  <si>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</si>
  <si>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</si>
  <si>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</si>
  <si>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</si>
  <si>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</si>
  <si>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</si>
  <si>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</si>
  <si>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</si>
  <si>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</si>
  <si>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</si>
  <si>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</si>
  <si>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</si>
  <si>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</si>
  <si>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</si>
  <si>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</si>
  <si>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</si>
  <si>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</si>
  <si>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</si>
  <si>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</si>
  <si>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</si>
  <si>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</si>
  <si>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</si>
  <si>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</si>
  <si>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</si>
  <si>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</si>
  <si>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</si>
  <si>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</si>
  <si>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</si>
  <si>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</si>
  <si>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</si>
  <si>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</si>
  <si>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</si>
  <si>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</si>
  <si>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</si>
  <si>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</si>
  <si>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</si>
  <si>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</si>
  <si>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</si>
  <si>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</si>
  <si>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</si>
  <si>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</si>
  <si>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</si>
  <si>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</si>
  <si>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</si>
  <si>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</si>
  <si>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</si>
  <si>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</si>
  <si>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</si>
  <si>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</si>
  <si>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</si>
  <si>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</si>
  <si>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</si>
  <si>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</si>
  <si>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</si>
  <si>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</si>
  <si>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</si>
  <si>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</si>
  <si>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</si>
  <si>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</si>
  <si>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</si>
  <si>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</si>
  <si>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</si>
  <si>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</si>
  <si>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</si>
  <si>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</si>
  <si>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</si>
  <si>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</si>
  <si>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</si>
  <si>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</si>
  <si>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</si>
  <si>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</si>
  <si>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</si>
  <si>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</si>
  <si>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</si>
  <si>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</si>
  <si>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</si>
  <si>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</si>
  <si>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</si>
  <si>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</si>
  <si>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</si>
  <si>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</si>
  <si>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</si>
  <si>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</si>
  <si>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</si>
  <si>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</si>
  <si>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</si>
  <si>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</si>
  <si>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</si>
  <si>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</si>
  <si>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</si>
  <si>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</si>
  <si>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</si>
  <si>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</si>
  <si>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</si>
  <si>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</si>
  <si>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</si>
  <si>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</si>
  <si>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</si>
  <si>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</si>
  <si>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</si>
  <si>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</si>
  <si>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</si>
  <si>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</si>
  <si>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</si>
  <si>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</si>
  <si>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</si>
  <si>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</si>
  <si>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</si>
  <si>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</si>
  <si>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</si>
  <si>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</si>
  <si>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</si>
  <si>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</si>
  <si>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</si>
  <si>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</si>
  <si>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</si>
  <si>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</si>
  <si>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</si>
  <si>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</si>
  <si>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</si>
  <si>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</si>
  <si>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</si>
  <si>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</si>
  <si>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</si>
  <si>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</si>
  <si>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</si>
  <si>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</si>
  <si>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</si>
  <si>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</si>
  <si>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</si>
  <si>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</si>
  <si>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</si>
  <si>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</si>
  <si>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</si>
  <si>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</si>
  <si>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</si>
  <si>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</si>
  <si>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</si>
  <si>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</si>
  <si>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</si>
  <si>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</si>
  <si>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</si>
  <si>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</si>
  <si>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</si>
  <si>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</si>
  <si>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</si>
  <si>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</si>
  <si>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</si>
  <si>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</si>
  <si>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</si>
  <si>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</si>
  <si>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</si>
  <si>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</si>
  <si>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</si>
  <si>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</si>
  <si>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</si>
  <si>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</si>
  <si>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</si>
  <si>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</si>
  <si>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</si>
  <si>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</si>
  <si>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</si>
  <si>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</si>
  <si>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</si>
  <si>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</si>
  <si>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</si>
  <si>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</si>
  <si>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</si>
  <si>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</si>
  <si>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</si>
  <si>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</si>
  <si>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</si>
  <si>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</si>
  <si>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</si>
  <si>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</si>
  <si>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</si>
  <si>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</si>
  <si>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</si>
  <si>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</si>
  <si>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</si>
  <si>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</si>
  <si>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</si>
  <si>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</si>
  <si>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</si>
  <si>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</si>
  <si>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</si>
  <si>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</si>
  <si>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</si>
  <si>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</si>
  <si>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</si>
  <si>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</si>
  <si>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</si>
  <si>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</si>
  <si>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</si>
  <si>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</si>
  <si>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</si>
  <si>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</si>
  <si>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</si>
  <si>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</si>
  <si>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</si>
  <si>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</si>
  <si>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</si>
  <si>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</si>
  <si>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</si>
  <si>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</si>
  <si>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</si>
  <si>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</si>
  <si>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</si>
  <si>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</si>
  <si>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</si>
  <si>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</si>
  <si>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</si>
  <si>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</si>
  <si>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</si>
  <si>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</si>
  <si>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</si>
  <si>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</si>
  <si>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</si>
  <si>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</si>
  <si>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</si>
  <si>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</si>
  <si>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</si>
  <si>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</si>
  <si>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</si>
  <si>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</si>
  <si>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</si>
  <si>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</si>
  <si>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</si>
  <si>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</si>
  <si>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</si>
  <si>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</si>
  <si>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</si>
  <si>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</si>
  <si>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</si>
  <si>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</si>
  <si>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</si>
  <si>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</si>
  <si>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</si>
  <si>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</si>
  <si>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</si>
  <si>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</si>
  <si>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</si>
  <si>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</si>
  <si>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</si>
  <si>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</si>
  <si>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</si>
  <si>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</si>
  <si>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</si>
  <si>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</si>
  <si>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</si>
  <si>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</si>
  <si>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</si>
  <si>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</si>
  <si>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</si>
  <si>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</si>
  <si>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</si>
  <si>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</si>
  <si>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</si>
  <si>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</si>
  <si>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</si>
  <si>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</si>
  <si>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</si>
  <si>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</si>
  <si>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</si>
  <si>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</si>
  <si>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</si>
  <si>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</si>
  <si>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</si>
  <si>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</si>
  <si>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</si>
  <si>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</si>
  <si>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</si>
  <si>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</si>
  <si>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</si>
  <si>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</si>
  <si>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</si>
  <si>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</si>
  <si>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</si>
  <si>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</si>
  <si>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</si>
  <si>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</si>
  <si>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</si>
  <si>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</si>
  <si>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</si>
  <si>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</si>
  <si>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</si>
  <si>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</si>
  <si>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</si>
  <si>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</si>
  <si>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</si>
  <si>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</si>
  <si>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</si>
  <si>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</si>
  <si>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</si>
  <si>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</si>
  <si>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</si>
  <si>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</si>
  <si>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</si>
  <si>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</si>
  <si>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</si>
  <si>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</si>
  <si>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</si>
  <si>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</si>
  <si>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</si>
  <si>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</si>
  <si>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</si>
  <si>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</si>
  <si>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</si>
  <si>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</si>
  <si>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</si>
  <si>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</si>
  <si>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</si>
  <si>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</si>
  <si>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</si>
  <si>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</si>
  <si>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</si>
  <si>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</si>
  <si>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</si>
  <si>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</si>
  <si>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</si>
  <si>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</si>
  <si>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</si>
  <si>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</si>
  <si>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</si>
  <si>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</si>
  <si>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</si>
  <si>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</si>
  <si>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</si>
  <si>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</si>
  <si>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</si>
  <si>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</si>
  <si>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</si>
  <si>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</si>
  <si>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</si>
  <si>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</si>
  <si>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</si>
  <si>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</si>
  <si>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</si>
  <si>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</si>
  <si>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</si>
  <si>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</si>
  <si>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</si>
  <si>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</si>
  <si>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</si>
  <si>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</si>
  <si>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</si>
  <si>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</si>
  <si>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</si>
  <si>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</si>
  <si>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</si>
  <si>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</si>
  <si>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</si>
  <si>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</si>
  <si>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</si>
  <si>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</si>
  <si>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</si>
  <si>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</si>
  <si>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</si>
  <si>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</si>
  <si>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</si>
  <si>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</si>
  <si>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</si>
  <si>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</si>
  <si>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</si>
  <si>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</si>
  <si>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</si>
  <si>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</si>
  <si>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</si>
  <si>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</si>
  <si>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</si>
  <si>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</si>
  <si>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</si>
  <si>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</si>
  <si>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</si>
  <si>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</si>
  <si>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</si>
  <si>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</si>
  <si>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</si>
  <si>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</si>
  <si>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</si>
  <si>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</si>
  <si>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</si>
  <si>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</si>
  <si>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</si>
  <si>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</si>
  <si>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</si>
  <si>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</si>
  <si>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</si>
  <si>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</si>
  <si>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</si>
  <si>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</si>
  <si>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</si>
  <si>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</si>
  <si>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</si>
  <si>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</si>
  <si>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</si>
  <si>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</si>
  <si>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</si>
  <si>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</si>
  <si>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</si>
  <si>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</si>
  <si>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</si>
  <si>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</si>
  <si>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</si>
  <si>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</si>
  <si>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</si>
  <si>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</si>
  <si>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</si>
  <si>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</si>
  <si>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</si>
  <si>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</si>
  <si>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</si>
  <si>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</si>
  <si>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</si>
  <si>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</si>
  <si>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</si>
  <si>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</si>
  <si>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</si>
  <si>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</si>
  <si>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</si>
  <si>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</si>
  <si>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</si>
  <si>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</si>
  <si>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</si>
  <si>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</si>
  <si>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</si>
  <si>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</si>
  <si>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</si>
  <si>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</si>
  <si>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</si>
  <si>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</si>
  <si>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</si>
  <si>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</si>
  <si>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</si>
  <si>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</si>
  <si>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</si>
  <si>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</si>
  <si>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</si>
  <si>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</si>
  <si>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</si>
  <si>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</si>
  <si>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</si>
  <si>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</si>
  <si>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</si>
  <si>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</si>
  <si>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</si>
  <si>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</si>
  <si>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</si>
  <si>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</si>
  <si>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</si>
  <si>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</si>
  <si>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</si>
  <si>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</si>
  <si>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</si>
  <si>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</si>
  <si>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</si>
  <si>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</si>
  <si>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</si>
  <si>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</si>
  <si>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</si>
  <si>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</si>
  <si>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</si>
  <si>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</si>
  <si>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</si>
  <si>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</si>
  <si>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</si>
  <si>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</si>
  <si>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</si>
  <si>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</si>
  <si>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</si>
  <si>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</si>
  <si>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</si>
  <si>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</si>
  <si>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</si>
  <si>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</si>
  <si>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</si>
  <si>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</si>
  <si>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</si>
  <si>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</si>
  <si>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</si>
  <si>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</si>
  <si>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</si>
  <si>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</si>
  <si>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</si>
  <si>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</si>
  <si>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</si>
  <si>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</si>
  <si>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</si>
  <si>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</si>
  <si>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</si>
  <si>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</si>
  <si>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</si>
  <si>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</si>
  <si>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</si>
  <si>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</si>
  <si>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</si>
  <si>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</si>
  <si>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</si>
  <si>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</si>
  <si>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</si>
  <si>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</si>
  <si>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</si>
  <si>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</si>
  <si>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</si>
  <si>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</si>
  <si>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</si>
  <si>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</si>
  <si>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</si>
  <si>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</si>
  <si>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</si>
  <si>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</si>
  <si>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</si>
  <si>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</si>
  <si>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</si>
  <si>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</si>
  <si>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</si>
  <si>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</si>
  <si>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</si>
  <si>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</si>
  <si>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</si>
  <si>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</si>
  <si>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</si>
  <si>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</si>
  <si>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</si>
  <si>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</si>
  <si>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</si>
  <si>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</si>
  <si>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</si>
  <si>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</si>
  <si>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</si>
  <si>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</si>
  <si>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</si>
  <si>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</si>
  <si>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</si>
  <si>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</si>
  <si>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</si>
  <si>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</si>
  <si>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</si>
  <si>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</si>
  <si>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</si>
  <si>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</si>
  <si>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</si>
  <si>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</si>
  <si>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</si>
  <si>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</si>
  <si>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</si>
  <si>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</si>
  <si>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</si>
  <si>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</si>
  <si>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</si>
  <si>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</si>
  <si>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</si>
  <si>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</si>
  <si>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</si>
  <si>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</si>
  <si>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</si>
  <si>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</si>
  <si>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</si>
  <si>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</si>
  <si>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</si>
  <si>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</si>
  <si>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</si>
  <si>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</si>
  <si>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</si>
  <si>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</si>
  <si>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</si>
  <si>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</si>
  <si>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</si>
  <si>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</si>
  <si>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</si>
  <si>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</si>
  <si>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</si>
  <si>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</si>
  <si>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</si>
  <si>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</si>
  <si>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</si>
  <si>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</si>
  <si>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</si>
  <si>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</si>
  <si>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</si>
  <si>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</si>
  <si>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</si>
  <si>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</si>
  <si>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</si>
  <si>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</si>
  <si>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</si>
  <si>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</si>
  <si>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</si>
  <si>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</si>
  <si>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</si>
  <si>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</si>
  <si>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</si>
  <si>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</si>
  <si>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</si>
  <si>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</si>
  <si>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</si>
  <si>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</si>
  <si>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</si>
  <si>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</si>
  <si>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</si>
  <si>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</si>
  <si>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</si>
  <si>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</si>
  <si>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</si>
  <si>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</si>
  <si>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</si>
  <si>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</si>
  <si>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</si>
  <si>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</si>
  <si>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</si>
  <si>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</si>
  <si>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</si>
  <si>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</si>
  <si>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</si>
  <si>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</si>
  <si>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</si>
  <si>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</si>
  <si>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</si>
  <si>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</si>
  <si>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</si>
  <si>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</si>
  <si>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</si>
  <si>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</si>
  <si>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</si>
  <si>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</si>
  <si>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</si>
  <si>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</si>
  <si>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</si>
  <si>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</si>
  <si>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</si>
  <si>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</si>
  <si>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</si>
  <si>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</si>
  <si>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</si>
  <si>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</si>
  <si>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</si>
  <si>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</si>
  <si>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</si>
  <si>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</si>
  <si>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</si>
  <si>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</si>
  <si>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</si>
  <si>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</si>
  <si>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</si>
  <si>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</si>
  <si>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</si>
  <si>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</si>
  <si>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</si>
  <si>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</si>
  <si>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</si>
  <si>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</si>
  <si>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</si>
  <si>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</si>
  <si>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</si>
  <si>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</si>
  <si>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</si>
  <si>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</si>
  <si>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</si>
  <si>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</si>
  <si>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</si>
  <si>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</si>
  <si>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</si>
  <si>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</si>
  <si>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</si>
  <si>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</si>
  <si>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</si>
  <si>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</si>
  <si>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</si>
  <si>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</si>
  <si>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</si>
  <si>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</si>
  <si>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</si>
  <si>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</si>
  <si>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</si>
  <si>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</si>
  <si>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</si>
  <si>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</si>
  <si>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</si>
  <si>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</si>
  <si>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</si>
  <si>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</si>
  <si>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</si>
  <si>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</si>
  <si>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</si>
  <si>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</si>
  <si>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</si>
  <si>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</si>
  <si>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</si>
  <si>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</si>
  <si>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</si>
  <si>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</si>
  <si>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</si>
  <si>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</si>
  <si>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</si>
  <si>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</si>
  <si>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</si>
  <si>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</si>
  <si>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</si>
  <si>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</si>
  <si>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</si>
  <si>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</si>
  <si>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</si>
  <si>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</si>
  <si>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</si>
  <si>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</si>
  <si>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</si>
  <si>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</si>
  <si>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</si>
  <si>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</si>
  <si>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</si>
  <si>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</si>
  <si>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</si>
  <si>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</si>
  <si>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</si>
  <si>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</si>
  <si>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</si>
  <si>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</si>
  <si>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</si>
  <si>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</si>
  <si>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</si>
  <si>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</si>
  <si>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</si>
  <si>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</si>
  <si>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</si>
  <si>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</si>
  <si>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</si>
  <si>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</si>
  <si>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</si>
  <si>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</si>
  <si>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</si>
  <si>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</si>
  <si>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</si>
  <si>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</si>
  <si>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</si>
  <si>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</si>
  <si>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</si>
  <si>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</si>
  <si>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</si>
  <si>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</si>
  <si>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</si>
  <si>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</si>
  <si>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</si>
  <si>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</si>
  <si>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</si>
  <si>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</si>
  <si>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</si>
  <si>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</si>
  <si>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</si>
  <si>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</si>
  <si>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</si>
  <si>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</si>
  <si>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</si>
  <si>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</si>
  <si>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</si>
  <si>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</si>
  <si>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</si>
  <si>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</si>
  <si>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</si>
  <si>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</si>
  <si>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</si>
  <si>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</si>
  <si>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</si>
  <si>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</si>
  <si>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</si>
  <si>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</si>
  <si>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</si>
  <si>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</si>
  <si>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</si>
  <si>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</si>
  <si>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</si>
  <si>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</si>
  <si>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</si>
  <si>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</si>
  <si>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</si>
  <si>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</si>
  <si>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</si>
  <si>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</si>
  <si>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</si>
  <si>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</si>
  <si>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</si>
  <si>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</si>
  <si>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</si>
  <si>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</si>
  <si>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</si>
  <si>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</si>
  <si>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</si>
  <si>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</si>
  <si>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</si>
  <si>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</si>
  <si>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</si>
  <si>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</si>
  <si>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</si>
  <si>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</si>
  <si>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</si>
  <si>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</si>
  <si>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</si>
  <si>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</si>
  <si>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</si>
  <si>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</si>
  <si>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</si>
  <si>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</si>
  <si>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</si>
  <si>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</si>
  <si>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</si>
  <si>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</si>
  <si>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</si>
  <si>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</si>
  <si>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</si>
  <si>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</si>
  <si>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</si>
  <si>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</si>
  <si>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</si>
  <si>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</si>
  <si>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</si>
  <si>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</si>
  <si>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</si>
  <si>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</si>
  <si>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</si>
  <si>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</si>
  <si>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</si>
  <si>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</si>
  <si>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</si>
  <si>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</si>
  <si>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</si>
  <si>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</si>
  <si>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</si>
  <si>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</si>
  <si>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</si>
  <si>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</si>
  <si>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</si>
  <si>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</si>
  <si>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</si>
  <si>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</si>
  <si>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</si>
  <si>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</si>
  <si>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</si>
  <si>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</si>
  <si>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</si>
  <si>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</si>
  <si>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</si>
  <si>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</si>
  <si>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</si>
  <si>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</si>
  <si>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</si>
  <si>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</si>
  <si>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</si>
  <si>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</si>
  <si>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</si>
  <si>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</si>
  <si>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</si>
  <si>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</si>
  <si>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</si>
  <si>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</si>
  <si>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</si>
  <si>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</si>
  <si>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</si>
  <si>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</si>
  <si>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</si>
  <si>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</si>
  <si>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</si>
  <si>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</si>
  <si>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</si>
  <si>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</si>
  <si>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</si>
  <si>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</si>
  <si>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</si>
  <si>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</si>
  <si>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</si>
  <si>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</si>
  <si>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</si>
  <si>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</si>
  <si>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</si>
  <si>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</si>
  <si>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</si>
  <si>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</si>
  <si>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</si>
  <si>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</si>
  <si>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</si>
  <si>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</si>
  <si>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</si>
  <si>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</si>
  <si>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</si>
  <si>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</si>
  <si>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</si>
  <si>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</si>
  <si>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</si>
  <si>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</si>
  <si>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</si>
  <si>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</si>
  <si>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</si>
  <si>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</si>
  <si>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</si>
  <si>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</si>
  <si>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</si>
  <si>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</si>
  <si>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</si>
  <si>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</si>
  <si>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</si>
  <si>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</si>
  <si>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</si>
  <si>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</si>
  <si>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</si>
  <si>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</si>
  <si>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</si>
  <si>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</si>
  <si>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</si>
  <si>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</si>
  <si>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</si>
  <si>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</si>
  <si>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</si>
  <si>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</si>
  <si>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</si>
  <si>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</si>
  <si>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</si>
  <si>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</si>
  <si>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</si>
  <si>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</si>
  <si>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</si>
  <si>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</si>
  <si>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</si>
  <si>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</si>
  <si>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</si>
  <si>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</si>
  <si>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</si>
  <si>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</si>
  <si>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</si>
  <si>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</si>
  <si>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</si>
  <si>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</si>
  <si>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</si>
  <si>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</si>
  <si>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</si>
  <si>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</si>
  <si>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</si>
  <si>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</si>
  <si>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</si>
  <si>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</si>
  <si>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</si>
  <si>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</si>
  <si>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</si>
  <si>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</si>
  <si>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</si>
  <si>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</si>
  <si>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</si>
  <si>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</si>
  <si>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</si>
  <si>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</si>
  <si>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</si>
  <si>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</si>
  <si>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</si>
  <si>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</si>
  <si>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</si>
  <si>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</si>
  <si>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</si>
  <si>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</si>
  <si>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</si>
  <si>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</si>
  <si>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</si>
  <si>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</si>
  <si>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</si>
  <si>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</si>
  <si>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</si>
  <si>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</si>
  <si>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</si>
  <si>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</si>
  <si>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</si>
  <si>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</si>
  <si>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</si>
  <si>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</si>
  <si>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</si>
  <si>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</si>
  <si>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</si>
  <si>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</si>
  <si>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</si>
  <si>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</si>
  <si>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</si>
  <si>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</si>
  <si>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</si>
  <si>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</si>
  <si>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</si>
  <si>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</si>
  <si>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</si>
  <si>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</si>
  <si>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</si>
  <si>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</si>
  <si>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</si>
  <si>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</si>
  <si>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</si>
  <si>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</si>
  <si>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</si>
  <si>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</si>
  <si>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</si>
  <si>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</si>
  <si>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</si>
  <si>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</si>
  <si>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</si>
  <si>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</si>
  <si>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</si>
  <si>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</si>
  <si>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</si>
  <si>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</si>
  <si>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</si>
  <si>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</si>
  <si>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</si>
  <si>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</si>
  <si>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</si>
  <si>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</si>
  <si>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</si>
  <si>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</si>
  <si>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</si>
  <si>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</si>
  <si>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</si>
  <si>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</si>
  <si>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</si>
  <si>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</si>
  <si>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</si>
  <si>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</si>
  <si>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</si>
  <si>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</si>
  <si>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</si>
  <si>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</si>
  <si>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</si>
  <si>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</si>
  <si>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</si>
  <si>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</si>
  <si>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</si>
  <si>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</si>
  <si>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</si>
  <si>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</si>
  <si>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</si>
  <si>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</si>
  <si>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</si>
  <si>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</si>
  <si>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</si>
  <si>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</si>
  <si>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</si>
  <si>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</si>
  <si>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</si>
  <si>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</si>
  <si>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</si>
  <si>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</si>
  <si>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</si>
  <si>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</si>
  <si>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</si>
  <si>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</si>
  <si>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</si>
  <si>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</si>
  <si>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</si>
  <si>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</si>
  <si>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</si>
  <si>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</si>
  <si>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</si>
  <si>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</si>
  <si>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</si>
  <si>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</si>
  <si>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</si>
  <si>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</si>
  <si>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</si>
  <si>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</si>
  <si>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</si>
  <si>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</si>
  <si>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</si>
  <si>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</si>
  <si>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</si>
  <si>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</si>
  <si>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</si>
  <si>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</si>
  <si>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</si>
  <si>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</si>
  <si>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</si>
  <si>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</si>
  <si>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</si>
  <si>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</si>
  <si>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</si>
  <si>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</si>
  <si>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</si>
  <si>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</si>
  <si>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</si>
  <si>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</si>
  <si>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</si>
  <si>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</si>
  <si>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</si>
  <si>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</si>
  <si>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</si>
  <si>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</si>
  <si>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</si>
  <si>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</si>
  <si>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</si>
  <si>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</si>
  <si>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</si>
  <si>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</si>
  <si>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</si>
  <si>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</si>
  <si>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</si>
  <si>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</si>
  <si>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</si>
  <si>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</si>
  <si>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</si>
  <si>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</si>
  <si>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</si>
  <si>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</si>
  <si>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</si>
  <si>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</si>
  <si>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</si>
  <si>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</si>
  <si>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</si>
  <si>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</si>
  <si>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</si>
  <si>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</si>
  <si>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</si>
  <si>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</si>
  <si>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</si>
  <si>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</si>
  <si>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</si>
  <si>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</si>
  <si>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</si>
  <si>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</si>
  <si>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</si>
  <si>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</si>
  <si>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</si>
  <si>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</si>
  <si>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</si>
  <si>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</si>
  <si>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</si>
  <si>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</si>
  <si>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</si>
  <si>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</si>
  <si>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</si>
  <si>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</si>
  <si>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</si>
  <si>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</si>
  <si>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</si>
  <si>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</si>
  <si>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</si>
  <si>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</si>
  <si>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</si>
  <si>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</si>
  <si>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</si>
  <si>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</si>
  <si>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</si>
  <si>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</si>
  <si>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</si>
  <si>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</si>
  <si>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</si>
  <si>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</si>
  <si>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</si>
  <si>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</si>
  <si>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</si>
  <si>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</si>
  <si>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</si>
  <si>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</si>
  <si>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</si>
  <si>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</si>
  <si>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</si>
  <si>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</si>
  <si>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</si>
  <si>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</si>
  <si>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</si>
  <si>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</si>
  <si>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</si>
  <si>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</si>
  <si>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</si>
  <si>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</si>
  <si>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</si>
  <si>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</si>
  <si>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</si>
  <si>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</si>
  <si>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</si>
  <si>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</si>
  <si>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</si>
  <si>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</si>
  <si>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</si>
  <si>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</si>
  <si>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</si>
  <si>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</si>
  <si>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</si>
  <si>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</si>
  <si>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</si>
  <si>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</si>
  <si>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</si>
  <si>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</si>
  <si>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</si>
  <si>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</si>
  <si>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</si>
  <si>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</si>
  <si>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</si>
  <si>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</si>
  <si>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</si>
  <si>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</si>
  <si>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</si>
  <si>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</si>
  <si>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</si>
  <si>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</si>
  <si>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</si>
  <si>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</si>
  <si>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</si>
  <si>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</si>
  <si>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</si>
  <si>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</si>
  <si>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</si>
  <si>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</si>
  <si>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</si>
  <si>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</si>
  <si>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</si>
  <si>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</si>
  <si>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</si>
  <si>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</si>
  <si>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</si>
  <si>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</si>
  <si>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</si>
  <si>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</si>
  <si>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</si>
  <si>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</si>
  <si>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</si>
  <si>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</si>
  <si>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</si>
  <si>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</si>
  <si>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</si>
  <si>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</si>
  <si>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</si>
  <si>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</si>
  <si>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</si>
  <si>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</si>
  <si>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</si>
  <si>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</si>
  <si>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</si>
  <si>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</si>
  <si>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</si>
  <si>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</si>
  <si>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</si>
  <si>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</si>
  <si>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</si>
  <si>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</si>
  <si>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</si>
  <si>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</si>
  <si>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</si>
  <si>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</si>
  <si>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</si>
  <si>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</si>
  <si>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</si>
  <si>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</si>
  <si>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</si>
  <si>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</si>
  <si>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</si>
  <si>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</si>
  <si>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</si>
  <si>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</si>
  <si>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</si>
  <si>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</si>
  <si>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</si>
  <si>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</si>
  <si>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</si>
  <si>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</si>
  <si>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</si>
  <si>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</si>
  <si>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</si>
  <si>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</si>
  <si>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</si>
  <si>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</si>
  <si>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</si>
  <si>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</si>
  <si>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</si>
  <si>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</si>
  <si>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</si>
  <si>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</si>
  <si>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</si>
  <si>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</si>
  <si>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</si>
  <si>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</si>
  <si>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</si>
  <si>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</si>
  <si>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</si>
  <si>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</si>
  <si>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</si>
  <si>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</si>
  <si>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</si>
  <si>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</si>
  <si>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</si>
  <si>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</si>
  <si>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</si>
  <si>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</si>
  <si>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</si>
  <si>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</si>
  <si>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</si>
  <si>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</si>
  <si>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</si>
  <si>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</si>
  <si>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</si>
  <si>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</si>
  <si>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</si>
  <si>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</si>
  <si>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</si>
  <si>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</si>
  <si>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</si>
  <si>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</si>
  <si>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</si>
  <si>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</si>
  <si>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</si>
  <si>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</si>
  <si>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</si>
  <si>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</si>
  <si>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</si>
  <si>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</si>
  <si>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</si>
  <si>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</si>
  <si>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</si>
  <si>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</si>
  <si>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</si>
  <si>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</si>
  <si>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</si>
  <si>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</si>
  <si>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</si>
  <si>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</si>
  <si>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</si>
  <si>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</si>
  <si>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</si>
  <si>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</si>
  <si>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</si>
  <si>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</si>
  <si>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</si>
  <si>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</si>
  <si>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</si>
  <si>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</si>
  <si>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</si>
  <si>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</si>
  <si>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</si>
  <si>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</si>
  <si>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</si>
  <si>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</si>
  <si>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</si>
  <si>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</si>
  <si>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</si>
  <si>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</si>
  <si>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</si>
  <si>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</si>
  <si>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</si>
  <si>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</si>
  <si>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</si>
  <si>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</si>
  <si>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</si>
  <si>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</si>
  <si>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</si>
  <si>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</si>
  <si>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</si>
  <si>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</si>
  <si>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</si>
  <si>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</si>
  <si>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</si>
  <si>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</si>
  <si>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</si>
  <si>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</si>
  <si>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</si>
  <si>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</si>
  <si>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</si>
  <si>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</si>
  <si>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</si>
  <si>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</si>
  <si>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</si>
  <si>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</si>
  <si>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</si>
  <si>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</si>
  <si>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</si>
  <si>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</si>
  <si>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</si>
  <si>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</si>
  <si>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</si>
  <si>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</si>
  <si>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</si>
  <si>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</si>
  <si>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</si>
  <si>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</si>
  <si>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</si>
  <si>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</si>
  <si>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</si>
  <si>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</si>
  <si>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</si>
  <si>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</si>
  <si>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</si>
  <si>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</si>
  <si>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</si>
  <si>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</si>
  <si>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</si>
  <si>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</si>
  <si>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</si>
  <si>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</si>
  <si>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</si>
  <si>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</si>
  <si>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</si>
  <si>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</si>
  <si>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</si>
  <si>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</si>
  <si>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</si>
  <si>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</si>
  <si>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</si>
  <si>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</si>
  <si>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</si>
  <si>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</si>
  <si>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</si>
  <si>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</si>
  <si>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</si>
  <si>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</si>
  <si>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</si>
  <si>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</si>
  <si>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</si>
  <si>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</si>
  <si>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</si>
  <si>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</si>
  <si>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</si>
  <si>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</si>
  <si>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</si>
  <si>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</si>
  <si>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</si>
  <si>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</si>
  <si>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</si>
  <si>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</si>
  <si>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</si>
  <si>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</si>
  <si>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</si>
  <si>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</si>
  <si>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</si>
  <si>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</si>
  <si>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</si>
  <si>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</si>
  <si>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</si>
  <si>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</si>
  <si>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</si>
  <si>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</si>
  <si>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</si>
  <si>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</si>
  <si>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</si>
  <si>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</si>
  <si>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</si>
  <si>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</si>
  <si>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</si>
  <si>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</si>
  <si>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</si>
  <si>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</si>
  <si>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</si>
  <si>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</si>
  <si>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</si>
  <si>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</si>
  <si>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</si>
  <si>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</si>
  <si>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</si>
  <si>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</si>
  <si>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</si>
  <si>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</si>
  <si>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</si>
  <si>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</si>
  <si>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</si>
  <si>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</si>
  <si>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</si>
  <si>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</si>
  <si>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</si>
  <si>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</si>
  <si>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</si>
  <si>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</si>
  <si>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</si>
  <si>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</si>
  <si>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</si>
  <si>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</si>
  <si>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</si>
  <si>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</si>
  <si>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</si>
  <si>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</si>
  <si>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</si>
  <si>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</si>
  <si>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</si>
  <si>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</si>
  <si>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</si>
  <si>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</si>
  <si>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</si>
  <si>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</si>
  <si>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</si>
  <si>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</si>
  <si>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</si>
  <si>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</si>
  <si>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</si>
  <si>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</si>
  <si>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</si>
  <si>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</si>
  <si>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</si>
  <si>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</si>
  <si>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</si>
  <si>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</si>
  <si>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</si>
  <si>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</si>
  <si>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</si>
  <si>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</si>
  <si>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</si>
  <si>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</si>
  <si>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</si>
  <si>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</si>
  <si>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</si>
  <si>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</si>
  <si>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</si>
  <si>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</si>
  <si>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</si>
  <si>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</si>
  <si>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</si>
  <si>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</si>
  <si>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</si>
  <si>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</si>
  <si>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</si>
  <si>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</si>
  <si>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</si>
  <si>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</si>
  <si>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</si>
  <si>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</si>
  <si>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</si>
  <si>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</si>
  <si>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</si>
  <si>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</si>
  <si>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</si>
  <si>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</si>
  <si>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</si>
  <si>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</si>
  <si>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</si>
  <si>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</si>
  <si>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</si>
  <si>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</si>
  <si>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</si>
  <si>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</si>
  <si>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</si>
  <si>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</si>
  <si>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</si>
  <si>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</si>
  <si>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</si>
  <si>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</si>
  <si>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</si>
  <si>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</si>
  <si>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</si>
  <si>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</si>
  <si>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</si>
  <si>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</si>
  <si>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</si>
  <si>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</si>
  <si>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</si>
  <si>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</si>
  <si>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</si>
  <si>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</si>
  <si>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</si>
  <si>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</si>
  <si>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</si>
  <si>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</si>
  <si>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</si>
  <si>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</si>
  <si>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</si>
  <si>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</si>
  <si>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</si>
  <si>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</si>
  <si>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</si>
  <si>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</si>
  <si>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</si>
  <si>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</si>
  <si>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</si>
  <si>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</si>
  <si>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</si>
  <si>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</si>
  <si>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</si>
  <si>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</si>
  <si>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</si>
  <si>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</si>
  <si>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</si>
  <si>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</si>
  <si>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</si>
  <si>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</si>
  <si>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</si>
  <si>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</si>
  <si>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</si>
  <si>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</si>
  <si>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</si>
  <si>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</si>
  <si>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</si>
  <si>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</si>
  <si>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</si>
  <si>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</si>
  <si>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</si>
  <si>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</si>
  <si>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</si>
  <si>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</si>
  <si>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</si>
  <si>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</si>
  <si>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</si>
  <si>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</si>
  <si>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</si>
  <si>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</si>
  <si>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</si>
  <si>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</si>
  <si>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</si>
  <si>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</si>
  <si>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</si>
  <si>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</si>
  <si>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</si>
  <si>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</si>
  <si>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</si>
  <si>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</si>
  <si>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</si>
  <si>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</si>
  <si>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</si>
  <si>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</si>
  <si>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</si>
  <si>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</si>
  <si>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</si>
  <si>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</si>
  <si>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</si>
  <si>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</si>
  <si>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</si>
  <si>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</si>
  <si>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</si>
  <si>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</si>
  <si>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</si>
  <si>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</si>
  <si>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</si>
  <si>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</si>
  <si>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</si>
  <si>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</si>
  <si>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</si>
  <si>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</si>
  <si>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</si>
  <si>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</si>
  <si>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</si>
  <si>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</si>
  <si>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</si>
  <si>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</si>
  <si>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</si>
  <si>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</si>
  <si>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</si>
  <si>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</si>
  <si>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</si>
  <si>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</si>
  <si>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</si>
  <si>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</si>
  <si>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</si>
  <si>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</si>
  <si>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</si>
  <si>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</si>
  <si>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</si>
  <si>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</si>
  <si>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</si>
  <si>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</si>
  <si>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</si>
  <si>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</si>
  <si>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</si>
  <si>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</si>
  <si>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</si>
  <si>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</si>
  <si>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</si>
  <si>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</si>
  <si>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</si>
  <si>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</si>
  <si>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</si>
  <si>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</si>
  <si>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</si>
  <si>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</si>
  <si>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</si>
  <si>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</si>
  <si>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</si>
  <si>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</si>
  <si>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</si>
  <si>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</si>
  <si>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</si>
  <si>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</si>
  <si>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</si>
  <si>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</si>
  <si>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</si>
  <si>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</si>
  <si>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</si>
  <si>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</si>
  <si>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</si>
  <si>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</si>
  <si>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</si>
  <si>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</si>
  <si>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</si>
  <si>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</si>
  <si>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</si>
  <si>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</si>
  <si>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</si>
  <si>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</si>
  <si>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</si>
  <si>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</si>
  <si>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</si>
  <si>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</si>
  <si>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</si>
  <si>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</si>
  <si>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</si>
  <si>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</si>
  <si>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</si>
  <si>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</si>
  <si>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</si>
  <si>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</si>
  <si>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</si>
  <si>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</si>
  <si>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</si>
  <si>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</si>
  <si>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</si>
  <si>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</si>
  <si>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</si>
  <si>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</si>
  <si>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</si>
  <si>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</si>
  <si>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</si>
  <si>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</si>
  <si>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</si>
  <si>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</si>
  <si>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</si>
  <si>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</si>
  <si>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</si>
  <si>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</si>
  <si>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</si>
  <si>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</si>
  <si>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</si>
  <si>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</si>
  <si>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</si>
  <si>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</si>
  <si>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</si>
  <si>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</si>
  <si>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</si>
  <si>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</si>
  <si>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</si>
  <si>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</si>
  <si>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</si>
  <si>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</si>
  <si>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</si>
  <si>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</si>
  <si>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</si>
  <si>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</si>
  <si>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</si>
  <si>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</si>
  <si>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</si>
  <si>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</si>
  <si>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</si>
  <si>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</si>
  <si>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</si>
  <si>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</si>
  <si>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</si>
  <si>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</si>
  <si>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</si>
  <si>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</si>
  <si>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</si>
  <si>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</si>
  <si>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</si>
  <si>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</si>
  <si>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</si>
  <si>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</si>
  <si>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</si>
  <si>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</si>
  <si>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</si>
  <si>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</si>
  <si>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</si>
  <si>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</si>
  <si>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</si>
  <si>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</si>
  <si>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</si>
  <si>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</si>
  <si>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</si>
  <si>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</si>
  <si>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</si>
  <si>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</si>
  <si>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</si>
  <si>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</si>
  <si>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</si>
  <si>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</si>
  <si>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</si>
  <si>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</si>
  <si>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</si>
  <si>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</si>
  <si>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</si>
  <si>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</si>
  <si>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</si>
  <si>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</si>
  <si>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</si>
  <si>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</si>
  <si>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</si>
  <si>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</si>
  <si>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</si>
  <si>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</si>
  <si>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</si>
  <si>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</si>
  <si>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</si>
  <si>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</si>
  <si>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</si>
  <si>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</si>
  <si>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</si>
  <si>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</si>
  <si>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</si>
  <si>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</si>
  <si>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</si>
  <si>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</si>
  <si>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</si>
  <si>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</si>
  <si>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</si>
  <si>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</si>
  <si>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</si>
  <si>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</si>
  <si>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</si>
  <si>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</si>
  <si>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</si>
  <si>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</si>
  <si>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</si>
  <si>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</si>
  <si>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</si>
  <si>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</si>
  <si>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</si>
  <si>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</si>
  <si>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</si>
  <si>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</si>
  <si>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</si>
  <si>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</si>
  <si>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</si>
  <si>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</si>
  <si>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</si>
  <si>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</si>
  <si>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</si>
  <si>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</si>
  <si>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</si>
  <si>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</si>
  <si>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</si>
  <si>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</si>
  <si>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</si>
  <si>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</si>
  <si>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</si>
  <si>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</si>
  <si>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</si>
  <si>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</si>
  <si>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</si>
  <si>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</si>
  <si>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</si>
  <si>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</si>
  <si>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</si>
  <si>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</si>
  <si>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</si>
  <si>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</si>
  <si>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</si>
  <si>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</si>
  <si>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</si>
  <si>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</si>
  <si>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</si>
  <si>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</si>
  <si>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</si>
  <si>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</si>
  <si>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</si>
  <si>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</si>
  <si>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</si>
  <si>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</si>
  <si>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</si>
  <si>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</si>
  <si>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</si>
  <si>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</si>
  <si>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</si>
  <si>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</si>
  <si>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</si>
  <si>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</si>
  <si>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</si>
  <si>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</si>
  <si>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</si>
  <si>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</si>
  <si>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</si>
  <si>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</si>
  <si>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</si>
  <si>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</si>
  <si>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</si>
  <si>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</si>
  <si>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</si>
  <si>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</si>
  <si>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</si>
  <si>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</si>
  <si>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</si>
  <si>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</si>
  <si>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</si>
  <si>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</si>
  <si>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</si>
  <si>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</si>
  <si>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</si>
  <si>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</si>
  <si>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</si>
  <si>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</si>
  <si>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</si>
  <si>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</si>
  <si>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</si>
  <si>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</si>
  <si>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</si>
  <si>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</si>
  <si>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</si>
  <si>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</si>
  <si>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</si>
  <si>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</si>
  <si>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</si>
  <si>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</si>
  <si>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</si>
  <si>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</si>
  <si>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</si>
  <si>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</si>
  <si>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</si>
  <si>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</si>
  <si>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</si>
  <si>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</si>
  <si>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</si>
  <si>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</si>
  <si>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</si>
  <si>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</si>
  <si>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</si>
  <si>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</si>
  <si>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</si>
  <si>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</si>
  <si>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</si>
  <si>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</si>
  <si>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</si>
  <si>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</si>
  <si>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</si>
  <si>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</si>
  <si>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</si>
  <si>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</si>
  <si>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</si>
  <si>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</si>
  <si>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</si>
  <si>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</si>
  <si>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</si>
  <si>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</si>
  <si>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</si>
  <si>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</si>
  <si>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</si>
  <si>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</si>
  <si>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</si>
  <si>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</si>
  <si>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</si>
  <si>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</si>
  <si>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</si>
  <si>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</si>
  <si>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</si>
  <si>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</si>
  <si>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</si>
  <si>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</si>
  <si>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</si>
  <si>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</si>
  <si>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</si>
  <si>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</si>
  <si>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</si>
  <si>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</si>
  <si>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</si>
  <si>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</si>
  <si>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</si>
  <si>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</si>
  <si>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</si>
  <si>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</si>
  <si>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</si>
  <si>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</si>
  <si>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</si>
  <si>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</si>
  <si>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</si>
  <si>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</si>
  <si>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</si>
  <si>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</si>
  <si>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</si>
  <si>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</si>
  <si>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</si>
  <si>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</si>
  <si>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</si>
  <si>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</si>
  <si>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</si>
  <si>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</si>
  <si>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</si>
  <si>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</si>
  <si>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</si>
  <si>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</si>
  <si>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</si>
  <si>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</si>
  <si>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</si>
  <si>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</si>
  <si>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</si>
  <si>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</si>
  <si>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</si>
  <si>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</si>
  <si>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</si>
  <si>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</si>
  <si>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</si>
  <si>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</si>
  <si>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</si>
  <si>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</si>
  <si>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</si>
  <si>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</si>
  <si>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</si>
  <si>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</si>
  <si>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</si>
  <si>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</si>
  <si>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</si>
  <si>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</si>
  <si>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</si>
  <si>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</si>
  <si>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</si>
  <si>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</si>
  <si>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</si>
  <si>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</si>
  <si>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</si>
  <si>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</si>
  <si>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</si>
  <si>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</si>
  <si>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</si>
  <si>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</si>
  <si>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</si>
  <si>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</si>
  <si>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</si>
  <si>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</si>
  <si>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</si>
  <si>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</si>
  <si>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</si>
  <si>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</si>
  <si>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</si>
  <si>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</si>
  <si>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</si>
  <si>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</si>
  <si>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</si>
  <si>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</si>
  <si>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</si>
  <si>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</si>
  <si>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</si>
  <si>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</si>
  <si>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</si>
  <si>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</si>
  <si>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</si>
  <si>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</si>
  <si>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</si>
  <si>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</si>
  <si>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</si>
  <si>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</si>
  <si>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</si>
  <si>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</si>
  <si>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</si>
  <si>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</si>
  <si>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</si>
  <si>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</si>
  <si>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</si>
  <si>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</si>
  <si>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</si>
  <si>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</si>
  <si>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</si>
  <si>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</si>
  <si>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</si>
  <si>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</si>
  <si>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</si>
  <si>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</si>
  <si>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</si>
  <si>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</si>
  <si>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</si>
  <si>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</si>
  <si>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</si>
  <si>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</si>
  <si>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</si>
  <si>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</si>
  <si>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</si>
  <si>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</si>
  <si>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</si>
  <si>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</si>
  <si>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</si>
  <si>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</si>
  <si>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</si>
  <si>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</si>
  <si>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</si>
  <si>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</si>
  <si>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</si>
  <si>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</si>
  <si>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</si>
  <si>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</si>
  <si>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</si>
  <si>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</si>
  <si>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</si>
  <si>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</si>
  <si>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</si>
  <si>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</si>
  <si>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</si>
  <si>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</si>
  <si>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</si>
  <si>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</si>
  <si>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</si>
  <si>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</si>
  <si>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</si>
  <si>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</si>
  <si>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</si>
  <si>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</si>
  <si>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</si>
  <si>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</si>
  <si>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</si>
  <si>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</si>
  <si>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</si>
  <si>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</si>
  <si>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</si>
  <si>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</si>
  <si>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</si>
  <si>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</si>
  <si>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</si>
  <si>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</si>
  <si>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</si>
  <si>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</si>
  <si>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</si>
  <si>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</si>
  <si>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</si>
  <si>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</si>
  <si>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</si>
  <si>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</si>
  <si>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</si>
  <si>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</si>
  <si>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</si>
  <si>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</si>
  <si>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</si>
  <si>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</si>
  <si>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</si>
  <si>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</si>
  <si>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</si>
  <si>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</si>
  <si>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</si>
  <si>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</si>
  <si>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</si>
  <si>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</si>
  <si>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</si>
  <si>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</si>
  <si>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</si>
  <si>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</si>
  <si>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</si>
  <si>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</si>
  <si>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</si>
  <si>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</si>
  <si>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</si>
  <si>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</si>
  <si>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</si>
  <si>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</si>
  <si>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</si>
  <si>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</si>
  <si>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</si>
  <si>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</si>
  <si>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</si>
  <si>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</si>
  <si>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</si>
  <si>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</si>
  <si>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</si>
  <si>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</si>
  <si>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</si>
  <si>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</si>
  <si>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</si>
  <si>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</si>
  <si>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</si>
  <si>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</si>
  <si>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</si>
  <si>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</si>
  <si>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</si>
  <si>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</si>
  <si>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</si>
  <si>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</si>
  <si>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</si>
  <si>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</si>
  <si>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</si>
  <si>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</si>
  <si>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</si>
  <si>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</si>
  <si>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</si>
  <si>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</si>
  <si>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</si>
  <si>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</si>
  <si>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</si>
  <si>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</si>
  <si>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</si>
  <si>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</si>
  <si>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</si>
  <si>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</si>
  <si>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</si>
  <si>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</si>
  <si>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</si>
  <si>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</si>
  <si>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</si>
  <si>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</si>
  <si>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</si>
  <si>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</si>
  <si>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</si>
  <si>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</si>
  <si>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</si>
  <si>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</si>
  <si>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</si>
  <si>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</si>
  <si>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</si>
  <si>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</si>
  <si>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</si>
  <si>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</si>
  <si>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</si>
  <si>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</si>
  <si>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</si>
  <si>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</si>
  <si>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</si>
  <si>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</si>
  <si>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</si>
  <si>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</si>
  <si>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</si>
  <si>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</si>
  <si>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</si>
  <si>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</si>
  <si>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</si>
  <si>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</si>
  <si>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</si>
  <si>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</si>
  <si>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</si>
  <si>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</si>
  <si>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</si>
  <si>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</si>
  <si>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</si>
  <si>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</si>
  <si>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</si>
  <si>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</si>
  <si>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</si>
  <si>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</si>
  <si>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</si>
  <si>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</si>
  <si>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</si>
  <si>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</si>
  <si>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</si>
  <si>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</si>
  <si>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</si>
  <si>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</si>
  <si>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</si>
  <si>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</si>
  <si>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</si>
  <si>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</si>
  <si>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</si>
  <si>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</si>
  <si>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</si>
  <si>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</si>
  <si>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</si>
  <si>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</si>
  <si>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</si>
  <si>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</si>
  <si>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</si>
  <si>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</si>
  <si>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</si>
  <si>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</si>
  <si>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</si>
  <si>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</si>
  <si>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</si>
  <si>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</si>
  <si>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</si>
  <si>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</si>
  <si>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</si>
  <si>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</si>
  <si>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</si>
  <si>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</si>
  <si>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</si>
  <si>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</si>
  <si>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</si>
  <si>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</si>
  <si>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</si>
  <si>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</si>
  <si>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</si>
  <si>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</si>
  <si>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</si>
  <si>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</si>
  <si>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</si>
  <si>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</si>
  <si>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</si>
  <si>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</si>
  <si>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</si>
  <si>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</si>
  <si>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</si>
  <si>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</si>
  <si>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</si>
  <si>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</si>
  <si>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</si>
  <si>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</si>
  <si>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</si>
  <si>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</si>
  <si>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</si>
  <si>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</si>
  <si>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</si>
  <si>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</si>
  <si>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</si>
  <si>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</si>
  <si>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</si>
  <si>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</si>
  <si>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</si>
  <si>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</si>
  <si>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</si>
  <si>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</si>
  <si>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</si>
  <si>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</si>
  <si>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</si>
  <si>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</si>
  <si>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</si>
  <si>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</si>
  <si>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</si>
  <si>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</si>
  <si>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</si>
  <si>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</si>
  <si>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</si>
  <si>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</si>
  <si>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</si>
  <si>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</si>
  <si>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</si>
  <si>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</si>
  <si>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</si>
  <si>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</si>
  <si>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</si>
  <si>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</si>
  <si>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</si>
  <si>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</si>
  <si>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</si>
  <si>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</si>
  <si>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</si>
  <si>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</si>
  <si>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</si>
  <si>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</si>
  <si>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</si>
  <si>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</si>
  <si>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</si>
  <si>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</si>
  <si>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</si>
  <si>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</si>
  <si>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</si>
  <si>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</si>
  <si>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</si>
  <si>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</si>
  <si>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</si>
  <si>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</si>
  <si>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</si>
  <si>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</si>
  <si>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</si>
  <si>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</si>
  <si>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</si>
  <si>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</si>
  <si>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</si>
  <si>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</si>
  <si>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</si>
  <si>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</si>
  <si>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</si>
  <si>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</si>
  <si>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</si>
  <si>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</si>
  <si>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</si>
  <si>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</si>
  <si>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</si>
  <si>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</si>
  <si>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</si>
  <si>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</si>
  <si>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</si>
  <si>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</si>
  <si>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</si>
  <si>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</si>
  <si>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</si>
  <si>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</si>
  <si>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</si>
  <si>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</si>
  <si>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</si>
  <si>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</si>
  <si>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</si>
  <si>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</si>
  <si>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</si>
  <si>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</si>
  <si>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</si>
  <si>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</si>
  <si>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</si>
  <si>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</si>
  <si>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</si>
  <si>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</si>
  <si>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</si>
  <si>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</si>
  <si>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</si>
  <si>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</si>
  <si>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</si>
  <si>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</si>
  <si>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</si>
  <si>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</si>
  <si>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</si>
  <si>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</si>
  <si>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</si>
  <si>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</si>
  <si>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</si>
  <si>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</si>
  <si>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</si>
  <si>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</si>
  <si>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</si>
  <si>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</si>
  <si>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</si>
  <si>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</si>
  <si>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</si>
  <si>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</si>
  <si>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</si>
  <si>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</si>
  <si>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</si>
  <si>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</si>
  <si>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</si>
  <si>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</si>
  <si>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</si>
  <si>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</si>
  <si>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</si>
  <si>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</si>
  <si>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</si>
  <si>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</si>
  <si>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</si>
  <si>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</si>
  <si>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</si>
  <si>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</si>
  <si>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</si>
  <si>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</si>
  <si>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</si>
  <si>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</si>
  <si>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</si>
  <si>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</si>
  <si>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</si>
  <si>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</si>
  <si>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</si>
  <si>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</si>
  <si>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</si>
  <si>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</si>
  <si>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</si>
  <si>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</si>
  <si>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</si>
  <si>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</si>
  <si>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</si>
  <si>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</si>
  <si>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</si>
  <si>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</si>
  <si>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</si>
  <si>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</si>
  <si>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</si>
  <si>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</si>
  <si>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</si>
  <si>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</si>
  <si>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</si>
  <si>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</si>
  <si>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</si>
  <si>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</si>
  <si>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</si>
  <si>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</si>
  <si>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</si>
  <si>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</si>
  <si>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</si>
  <si>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</si>
  <si>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</si>
  <si>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</si>
  <si>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</si>
  <si>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</si>
  <si>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</si>
  <si>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</si>
  <si>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</si>
  <si>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</si>
  <si>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</si>
  <si>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</si>
  <si>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</si>
  <si>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</si>
  <si>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</si>
  <si>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</si>
  <si>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</si>
  <si>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</si>
  <si>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</si>
  <si>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</si>
  <si>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</si>
  <si>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</si>
  <si>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</si>
  <si>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</si>
  <si>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</si>
  <si>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</si>
  <si>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</si>
  <si>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</si>
  <si>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</si>
  <si>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</si>
  <si>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</si>
  <si>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</si>
  <si>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</si>
  <si>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</si>
  <si>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</si>
  <si>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</si>
  <si>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</si>
  <si>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</si>
  <si>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</si>
  <si>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</si>
  <si>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</si>
  <si>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</si>
  <si>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</si>
  <si>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</si>
  <si>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</si>
  <si>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</si>
  <si>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</si>
  <si>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</si>
  <si>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</si>
  <si>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</si>
  <si>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</si>
  <si>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</si>
  <si>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</si>
  <si>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</si>
  <si>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</si>
  <si>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</si>
  <si>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</si>
  <si>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</si>
  <si>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</si>
  <si>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</si>
  <si>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</si>
  <si>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</si>
  <si>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</si>
  <si>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</si>
  <si>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</si>
  <si>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</si>
  <si>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</si>
  <si>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</si>
  <si>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</si>
  <si>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</si>
  <si>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</si>
  <si>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</si>
  <si>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</si>
  <si>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</si>
  <si>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</si>
  <si>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</si>
  <si>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</si>
  <si>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</si>
  <si>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</si>
  <si>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</si>
  <si>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</si>
  <si>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</si>
  <si>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</si>
  <si>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</si>
  <si>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</si>
  <si>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</si>
  <si>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</si>
  <si>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</si>
  <si>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</si>
  <si>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</si>
  <si>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</si>
  <si>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</si>
  <si>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</si>
  <si>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</si>
  <si>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</si>
  <si>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</si>
  <si>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</si>
  <si>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</si>
  <si>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</si>
  <si>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</si>
  <si>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</si>
  <si>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</si>
  <si>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</si>
  <si>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</si>
  <si>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</si>
  <si>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</si>
  <si>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</si>
  <si>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</si>
  <si>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</si>
  <si>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</si>
  <si>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</si>
  <si>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</si>
  <si>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</si>
  <si>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</si>
  <si>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</si>
  <si>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</si>
  <si>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</si>
  <si>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</si>
  <si>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</si>
  <si>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</si>
  <si>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</si>
  <si>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</si>
  <si>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</si>
  <si>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</si>
  <si>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</si>
  <si>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</si>
  <si>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</si>
  <si>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</si>
  <si>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</si>
  <si>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</si>
  <si>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</si>
  <si>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</si>
  <si>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</si>
  <si>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</si>
  <si>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</si>
  <si>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</si>
  <si>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</si>
  <si>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</si>
  <si>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</si>
  <si>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</si>
  <si>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</si>
  <si>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</si>
  <si>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</si>
  <si>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</si>
  <si>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</si>
  <si>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</si>
  <si>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</si>
  <si>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</si>
  <si>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</si>
  <si>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</si>
  <si>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</si>
  <si>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</si>
  <si>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</si>
  <si>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</si>
  <si>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</si>
  <si>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</si>
  <si>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</si>
  <si>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</si>
  <si>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</si>
  <si>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</si>
  <si>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</si>
  <si>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</si>
  <si>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</si>
  <si>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</si>
  <si>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</si>
  <si>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</si>
  <si>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</si>
  <si>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</si>
  <si>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</si>
  <si>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</si>
  <si>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</si>
  <si>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</si>
  <si>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</si>
  <si>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</si>
  <si>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</si>
  <si>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</si>
  <si>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</si>
  <si>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</si>
  <si>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</si>
  <si>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</si>
  <si>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</si>
  <si>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</si>
  <si>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</si>
  <si>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</si>
  <si>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</si>
  <si>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</si>
  <si>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</si>
  <si>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</si>
  <si>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</si>
  <si>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</si>
  <si>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</si>
  <si>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</si>
  <si>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</si>
  <si>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</si>
  <si>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</si>
  <si>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</si>
  <si>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</si>
  <si>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</si>
  <si>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</si>
  <si>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</si>
  <si>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</si>
  <si>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</si>
  <si>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</si>
  <si>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</si>
  <si>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</si>
  <si>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</si>
  <si>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</si>
  <si>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</si>
  <si>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</si>
  <si>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</si>
  <si>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</si>
  <si>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</si>
  <si>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</si>
  <si>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</si>
  <si>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</si>
  <si>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</si>
  <si>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</si>
  <si>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</si>
  <si>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</si>
  <si>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</si>
  <si>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</si>
  <si>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</si>
  <si>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</si>
  <si>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</si>
  <si>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</si>
  <si>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</si>
  <si>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</si>
  <si>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</si>
  <si>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</si>
  <si>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</si>
  <si>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</si>
  <si>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</si>
  <si>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</si>
  <si>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</si>
  <si>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</si>
  <si>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</si>
  <si>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</si>
  <si>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</si>
  <si>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</si>
  <si>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</si>
  <si>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</si>
  <si>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</si>
  <si>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</si>
  <si>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</si>
  <si>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</si>
  <si>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</si>
  <si>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</si>
  <si>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</si>
  <si>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</si>
  <si>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</si>
  <si>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</si>
  <si>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</si>
  <si>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</si>
  <si>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</si>
  <si>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</si>
  <si>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</si>
  <si>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</si>
  <si>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</si>
  <si>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</si>
  <si>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</si>
  <si>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</si>
  <si>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</si>
  <si>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</si>
  <si>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</si>
  <si>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</si>
  <si>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</si>
  <si>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</si>
  <si>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</si>
  <si>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</si>
  <si>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</si>
  <si>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</si>
  <si>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</si>
  <si>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</si>
  <si>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</si>
  <si>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</si>
  <si>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</si>
  <si>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</si>
  <si>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</si>
  <si>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</si>
  <si>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</si>
  <si>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</si>
  <si>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</si>
  <si>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</si>
  <si>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</si>
  <si>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</si>
  <si>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</si>
  <si>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</si>
  <si>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</si>
  <si>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</si>
  <si>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</si>
  <si>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</si>
  <si>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</si>
  <si>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</si>
  <si>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</si>
  <si>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</si>
  <si>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</si>
  <si>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</si>
  <si>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</si>
  <si>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</si>
  <si>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</si>
  <si>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</si>
  <si>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</si>
  <si>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</si>
  <si>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</si>
  <si>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</si>
  <si>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</si>
  <si>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</si>
  <si>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</si>
  <si>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</si>
  <si>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</si>
  <si>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</si>
  <si>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</si>
  <si>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</si>
  <si>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</si>
  <si>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</si>
  <si>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</si>
  <si>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</si>
  <si>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</si>
  <si>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</si>
  <si>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</si>
  <si>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</si>
  <si>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</si>
  <si>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</si>
  <si>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</si>
  <si>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</si>
  <si>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</si>
  <si>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</si>
  <si>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</si>
  <si>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</si>
  <si>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</si>
  <si>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</si>
  <si>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</si>
  <si>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</si>
  <si>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</si>
  <si>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</si>
  <si>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</si>
  <si>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</si>
  <si>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</si>
  <si>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</si>
  <si>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</si>
  <si>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</si>
  <si>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</si>
  <si>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</si>
  <si>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</si>
  <si>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</si>
  <si>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</si>
  <si>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</si>
  <si>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</si>
  <si>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</si>
  <si>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</si>
  <si>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</si>
  <si>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</si>
  <si>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</si>
  <si>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</si>
  <si>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</si>
  <si>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</si>
  <si>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</si>
  <si>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</si>
  <si>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</si>
  <si>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</si>
  <si>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</si>
  <si>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</si>
  <si>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</si>
  <si>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</si>
  <si>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</si>
  <si>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</si>
  <si>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</si>
  <si>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</si>
  <si>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</si>
  <si>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</si>
  <si>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</si>
  <si>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</si>
  <si>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</si>
  <si>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</si>
  <si>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</si>
  <si>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</si>
  <si>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</si>
  <si>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</si>
  <si>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</si>
  <si>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</si>
  <si>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</si>
  <si>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</si>
  <si>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</si>
  <si>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</si>
  <si>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</si>
  <si>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</si>
  <si>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</si>
  <si>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</si>
  <si>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</si>
  <si>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</si>
  <si>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</si>
  <si>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</si>
  <si>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</si>
  <si>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</si>
  <si>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</si>
  <si>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</si>
  <si>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</si>
  <si>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</si>
  <si>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</si>
  <si>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</si>
  <si>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</si>
  <si>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</si>
  <si>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</si>
  <si>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</si>
  <si>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</si>
  <si>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</si>
  <si>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</si>
  <si>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</si>
  <si>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</si>
  <si>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</si>
  <si>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</si>
  <si>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</si>
  <si>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</si>
  <si>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</si>
  <si>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</si>
  <si>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</si>
  <si>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</si>
  <si>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</si>
  <si>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</si>
  <si>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</si>
  <si>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</si>
  <si>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</si>
  <si>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</si>
  <si>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</si>
  <si>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</si>
  <si>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</si>
  <si>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</si>
  <si>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</si>
  <si>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</si>
  <si>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</si>
  <si>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</si>
  <si>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</si>
  <si>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</si>
  <si>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</si>
  <si>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</si>
  <si>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</si>
  <si>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</si>
  <si>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</si>
  <si>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</si>
  <si>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</si>
  <si>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</si>
  <si>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</si>
  <si>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</si>
  <si>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</si>
  <si>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</si>
  <si>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</si>
  <si>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</si>
  <si>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</si>
  <si>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</si>
  <si>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</si>
  <si>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</si>
  <si>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</si>
  <si>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</si>
  <si>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</si>
  <si>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</si>
  <si>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</si>
  <si>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</si>
  <si>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</si>
  <si>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</si>
  <si>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</si>
  <si>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</si>
  <si>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</si>
  <si>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</si>
  <si>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</si>
  <si>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</si>
  <si>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</si>
  <si>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</si>
  <si>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</si>
  <si>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</si>
  <si>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</si>
  <si>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</si>
  <si>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</si>
  <si>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</si>
  <si>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</si>
  <si>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</si>
  <si>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</si>
  <si>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</si>
  <si>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</si>
  <si>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</si>
  <si>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</si>
  <si>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</si>
  <si>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</si>
  <si>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</si>
  <si>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</si>
  <si>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</si>
  <si>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</si>
  <si>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</si>
  <si>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</si>
  <si>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</si>
  <si>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</si>
  <si>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</si>
  <si>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</si>
  <si>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</si>
  <si>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</si>
  <si>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</si>
  <si>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</si>
  <si>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</si>
  <si>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</si>
  <si>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</si>
  <si>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</si>
  <si>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</si>
  <si>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</si>
  <si>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</si>
  <si>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</si>
  <si>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</si>
  <si>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</si>
  <si>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</si>
  <si>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</si>
  <si>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</si>
  <si>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</si>
  <si>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</si>
  <si>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</si>
  <si>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</si>
  <si>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</si>
  <si>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</si>
  <si>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</si>
  <si>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</si>
  <si>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</si>
  <si>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</si>
  <si>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</si>
  <si>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</si>
  <si>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</si>
  <si>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</si>
  <si>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</si>
  <si>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</si>
  <si>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</si>
  <si>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</si>
  <si>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</si>
  <si>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</si>
  <si>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</si>
  <si>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</si>
  <si>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</si>
  <si>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</si>
  <si>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</si>
  <si>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</si>
  <si>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</si>
  <si>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</si>
  <si>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</si>
  <si>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</si>
  <si>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</si>
  <si>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</si>
  <si>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</si>
  <si>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</si>
  <si>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</si>
  <si>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</si>
  <si>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</si>
  <si>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</si>
  <si>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</si>
  <si>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</si>
  <si>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</si>
  <si>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</si>
  <si>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</si>
  <si>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</si>
  <si>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</si>
  <si>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</si>
  <si>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</si>
  <si>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</si>
  <si>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</si>
  <si>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</si>
  <si>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</si>
  <si>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</si>
  <si>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</si>
  <si>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</si>
  <si>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</si>
  <si>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</si>
  <si>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</si>
  <si>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</si>
  <si>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</si>
  <si>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</si>
  <si>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</si>
  <si>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</si>
  <si>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</si>
  <si>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</si>
  <si>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</si>
  <si>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</si>
  <si>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</si>
  <si>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</si>
  <si>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</si>
  <si>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</si>
  <si>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</si>
  <si>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</si>
  <si>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</si>
  <si>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</si>
  <si>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</si>
  <si>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</si>
  <si>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</si>
  <si>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</si>
  <si>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</si>
  <si>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</si>
  <si>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</si>
  <si>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</si>
  <si>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</si>
  <si>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</si>
  <si>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</si>
  <si>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</si>
  <si>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</si>
  <si>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</si>
  <si>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</si>
  <si>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</si>
  <si>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</si>
  <si>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</si>
  <si>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</si>
  <si>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</si>
  <si>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</si>
  <si>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</si>
  <si>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</si>
  <si>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</si>
  <si>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</si>
  <si>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</si>
  <si>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</si>
  <si>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</si>
  <si>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</si>
  <si>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</si>
  <si>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</si>
  <si>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</si>
  <si>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</si>
  <si>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</si>
  <si>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</si>
  <si>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</si>
  <si>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</si>
  <si>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</si>
  <si>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</si>
  <si>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</si>
  <si>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</si>
  <si>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</si>
  <si>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</si>
  <si>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</si>
  <si>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</si>
  <si>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</si>
  <si>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</si>
  <si>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</si>
  <si>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</si>
  <si>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</si>
  <si>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</si>
  <si>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</si>
  <si>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</si>
  <si>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</si>
  <si>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</si>
  <si>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</si>
  <si>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</si>
  <si>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</si>
  <si>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</si>
  <si>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</si>
  <si>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</si>
  <si>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</si>
  <si>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</si>
  <si>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</si>
  <si>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</si>
  <si>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</si>
  <si>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</si>
  <si>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</si>
  <si>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</si>
  <si>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</si>
  <si>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</si>
  <si>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</si>
  <si>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</si>
  <si>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</si>
  <si>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</si>
  <si>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</si>
  <si>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</si>
  <si>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</si>
  <si>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</si>
  <si>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</si>
  <si>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</si>
  <si>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</si>
  <si>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</si>
  <si>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</si>
  <si>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</si>
  <si>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</si>
  <si>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</si>
  <si>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</si>
  <si>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</si>
  <si>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</si>
  <si>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</si>
  <si>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</si>
  <si>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</si>
  <si>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城镇住宅用地</t>
  </si>
  <si>
    <t>自定义容积率</t>
  </si>
  <si>
    <t>不临65条商业街</t>
  </si>
  <si>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</si>
  <si>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</si>
  <si>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</si>
  <si>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</si>
  <si>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</si>
  <si>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</si>
  <si>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</si>
  <si>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</si>
  <si>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</si>
  <si>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</si>
  <si>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</si>
  <si>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</si>
  <si>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</si>
  <si>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</si>
  <si>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</si>
  <si>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</si>
  <si>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phoneticPr fontId="24" type="noConversion"/>
  </si>
  <si>
    <t>好</t>
    <phoneticPr fontId="24" type="noConversion"/>
  </si>
  <si>
    <t>较好</t>
    <phoneticPr fontId="24" type="noConversion"/>
  </si>
  <si>
    <t>小高层板楼</t>
    <phoneticPr fontId="24"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</si>
  <si>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</si>
  <si>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</si>
  <si>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</si>
  <si>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</si>
  <si>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</si>
  <si>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</si>
  <si>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</si>
  <si>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</si>
  <si>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</si>
  <si>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</si>
  <si>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</si>
  <si>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</si>
  <si>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</si>
  <si>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</si>
  <si>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</si>
  <si>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</si>
  <si>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</si>
  <si>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</si>
  <si>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</si>
  <si>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</si>
  <si>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</si>
  <si>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</si>
  <si>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t>成交总价</t>
    <phoneticPr fontId="134" type="noConversion"/>
  </si>
  <si>
    <t>时间</t>
  </si>
  <si>
    <t>成交套数(套)</t>
  </si>
  <si>
    <t>成交面积(万㎡)</t>
  </si>
  <si>
    <t>成交价格(元/㎡)</t>
  </si>
  <si>
    <t>成交金额(亿元)</t>
  </si>
  <si>
    <t>当页汇总</t>
  </si>
  <si>
    <t>月租金</t>
    <phoneticPr fontId="134" type="noConversion"/>
  </si>
  <si>
    <t>面积</t>
    <phoneticPr fontId="134" type="noConversion"/>
  </si>
  <si>
    <t>单价</t>
    <phoneticPr fontId="134" type="noConversion"/>
  </si>
  <si>
    <t>地址</t>
    <phoneticPr fontId="134" type="noConversion"/>
  </si>
  <si>
    <t>成交价</t>
    <phoneticPr fontId="134" type="noConversion"/>
  </si>
  <si>
    <t>成交日期</t>
    <phoneticPr fontId="134" type="noConversion"/>
  </si>
  <si>
    <t>评估值</t>
    <phoneticPr fontId="134" type="noConversion"/>
  </si>
  <si>
    <r>
      <t>2</t>
    </r>
    <r>
      <rPr>
        <sz val="11"/>
        <color theme="1"/>
        <rFont val="宋体"/>
        <family val="3"/>
        <charset val="134"/>
        <scheme val="minor"/>
      </rPr>
      <t>023-10-31</t>
    </r>
    <phoneticPr fontId="134" type="noConversion"/>
  </si>
  <si>
    <r>
      <t>1</t>
    </r>
    <r>
      <rPr>
        <sz val="11"/>
        <color theme="1"/>
        <rFont val="宋体"/>
        <family val="3"/>
        <charset val="134"/>
        <scheme val="minor"/>
      </rPr>
      <t>2994919.66</t>
    </r>
    <phoneticPr fontId="134" type="noConversion"/>
  </si>
  <si>
    <t>成交单价</t>
    <phoneticPr fontId="134" type="noConversion"/>
  </si>
  <si>
    <t>评估单价</t>
    <phoneticPr fontId="134" type="noConversion"/>
  </si>
  <si>
    <t>面积</t>
    <phoneticPr fontId="134" type="noConversion"/>
  </si>
  <si>
    <t>113.84</t>
    <phoneticPr fontId="134" type="noConversion"/>
  </si>
  <si>
    <t>序号</t>
    <phoneticPr fontId="134" type="noConversion"/>
  </si>
  <si>
    <t>北京市海淀区蓝靛厂春荫园5号楼12层3单元15D</t>
    <phoneticPr fontId="134" type="noConversion"/>
  </si>
  <si>
    <t>北京市海淀区蓝靛厂春荫园8号楼5层4单元6C</t>
    <phoneticPr fontId="134" type="noConversion"/>
  </si>
  <si>
    <t>20987300</t>
    <phoneticPr fontId="134" type="noConversion"/>
  </si>
  <si>
    <t>北京市海淀区蓝靛厂春荫园5号楼12层2单元15D</t>
    <phoneticPr fontId="134" type="noConversion"/>
  </si>
  <si>
    <t>13865491.33</t>
    <phoneticPr fontId="134" type="noConversion"/>
  </si>
  <si>
    <t>已成交</t>
    <phoneticPr fontId="134" type="noConversion"/>
  </si>
  <si>
    <t>撤回</t>
    <phoneticPr fontId="134" type="noConversion"/>
  </si>
  <si>
    <t>北京市海淀区蓝靛厂春荫园1号楼1层3单元1E号</t>
    <phoneticPr fontId="134" type="noConversion"/>
  </si>
  <si>
    <t>2022-7-18</t>
    <phoneticPr fontId="134" type="noConversion"/>
  </si>
  <si>
    <t>2023-5-17</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</si>
  <si>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</si>
  <si>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</si>
  <si>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</si>
  <si>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</si>
  <si>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</si>
  <si>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北京市海淀区蓝靛厂春荫园12号楼5层4单元6C号</t>
    <phoneticPr fontId="134" type="noConversion"/>
  </si>
  <si>
    <t>北京市海淀区蓝靛厂春荫园3号楼5层1单元5A</t>
    <phoneticPr fontId="134" type="noConversion"/>
  </si>
  <si>
    <t xml:space="preserve">北京市海淀区蓝靛厂春荫园9号楼01层6单元1H </t>
    <phoneticPr fontId="134" type="noConversion"/>
  </si>
  <si>
    <r>
      <t>1</t>
    </r>
    <r>
      <rPr>
        <sz val="11"/>
        <color theme="1"/>
        <rFont val="宋体"/>
        <family val="3"/>
        <charset val="134"/>
        <scheme val="minor"/>
      </rPr>
      <t>5984809</t>
    </r>
    <phoneticPr fontId="134" type="noConversion"/>
  </si>
  <si>
    <r>
      <t>2</t>
    </r>
    <r>
      <rPr>
        <sz val="11"/>
        <color theme="1"/>
        <rFont val="宋体"/>
        <family val="3"/>
        <charset val="134"/>
        <scheme val="minor"/>
      </rPr>
      <t>020-10-13</t>
    </r>
    <phoneticPr fontId="134" type="noConversion"/>
  </si>
  <si>
    <r>
      <t>2</t>
    </r>
    <r>
      <rPr>
        <sz val="11"/>
        <color theme="1"/>
        <rFont val="宋体"/>
        <family val="3"/>
        <charset val="134"/>
        <scheme val="minor"/>
      </rPr>
      <t>03.21</t>
    </r>
    <phoneticPr fontId="134" type="noConversion"/>
  </si>
  <si>
    <t>20117790</t>
    <phoneticPr fontId="134" type="noConversion"/>
  </si>
  <si>
    <t>6</t>
  </si>
  <si>
    <t>7</t>
  </si>
  <si>
    <t>161.32</t>
    <phoneticPr fontId="134" type="noConversion"/>
  </si>
  <si>
    <t>164.24</t>
    <phoneticPr fontId="134" type="noConversion"/>
  </si>
  <si>
    <t>2018-9-3</t>
    <phoneticPr fontId="134" type="noConversion"/>
  </si>
  <si>
    <t>16110800</t>
    <phoneticPr fontId="134" type="noConversion"/>
  </si>
  <si>
    <t>168.31</t>
    <phoneticPr fontId="134" type="noConversion"/>
  </si>
  <si>
    <t>18616275</t>
    <phoneticPr fontId="134" type="noConversion"/>
  </si>
  <si>
    <t>2023-9-24</t>
    <phoneticPr fontId="134" type="noConversion"/>
  </si>
  <si>
    <t>19701500</t>
    <phoneticPr fontId="134" type="noConversion"/>
  </si>
  <si>
    <t>213.03</t>
    <phoneticPr fontId="134" type="noConversion"/>
  </si>
  <si>
    <t>24025000</t>
    <phoneticPr fontId="134" type="noConversion"/>
  </si>
  <si>
    <t>2023-1-19</t>
    <phoneticPr fontId="134" type="noConversion"/>
  </si>
  <si>
    <t>24475299.66</t>
    <phoneticPr fontId="134" type="noConversion"/>
  </si>
  <si>
    <t>3-4-11F</t>
    <phoneticPr fontId="134" type="noConversion"/>
  </si>
  <si>
    <t>户型</t>
    <phoneticPr fontId="134" type="noConversion"/>
  </si>
  <si>
    <t>3-2-1-2</t>
    <phoneticPr fontId="134" type="noConversion"/>
  </si>
  <si>
    <t>9-4-15G</t>
    <phoneticPr fontId="134" type="noConversion"/>
  </si>
  <si>
    <t>5-3-15D</t>
    <phoneticPr fontId="134" type="noConversion"/>
  </si>
  <si>
    <t>3-2-1-3</t>
  </si>
  <si>
    <t>3-1-5A</t>
    <phoneticPr fontId="134" type="noConversion"/>
  </si>
  <si>
    <t>9-4-8G</t>
    <phoneticPr fontId="134" type="noConversion"/>
  </si>
  <si>
    <t>12-5-5B</t>
    <phoneticPr fontId="134" type="noConversion"/>
  </si>
  <si>
    <t>5-4-6C</t>
    <phoneticPr fontId="134" type="noConversion"/>
  </si>
  <si>
    <t>南北</t>
    <phoneticPr fontId="134" type="noConversion"/>
  </si>
  <si>
    <t>12-1-10B</t>
    <phoneticPr fontId="134" type="noConversion"/>
  </si>
  <si>
    <t>南北</t>
    <phoneticPr fontId="134" type="noConversion"/>
  </si>
  <si>
    <t>5-3-10C</t>
    <phoneticPr fontId="134" type="noConversion"/>
  </si>
  <si>
    <t>南北</t>
    <phoneticPr fontId="134" type="noConversion"/>
  </si>
  <si>
    <t>9-5-8G</t>
    <phoneticPr fontId="134" type="noConversion"/>
  </si>
  <si>
    <t>4-1-1-2</t>
    <phoneticPr fontId="134" type="noConversion"/>
  </si>
  <si>
    <t>住宅</t>
    <phoneticPr fontId="134" type="noConversion"/>
  </si>
  <si>
    <t>南北</t>
    <phoneticPr fontId="134" type="noConversion"/>
  </si>
  <si>
    <t>精装修</t>
    <phoneticPr fontId="134" type="noConversion"/>
  </si>
  <si>
    <t>七通</t>
    <phoneticPr fontId="134" type="noConversion"/>
  </si>
  <si>
    <t>3-2-1-2</t>
    <phoneticPr fontId="134" type="noConversion"/>
  </si>
  <si>
    <t>南北</t>
    <phoneticPr fontId="134" type="noConversion"/>
  </si>
  <si>
    <t>3-4-15D</t>
    <phoneticPr fontId="134" type="noConversion"/>
  </si>
  <si>
    <t>住宅</t>
    <phoneticPr fontId="134" type="noConversion"/>
  </si>
  <si>
    <t>七通</t>
    <phoneticPr fontId="134" type="noConversion"/>
  </si>
  <si>
    <t>5-3-15D</t>
    <phoneticPr fontId="134" type="noConversion"/>
  </si>
  <si>
    <t>3-2-1-3</t>
    <phoneticPr fontId="134" type="noConversion"/>
  </si>
  <si>
    <t>精装修</t>
    <phoneticPr fontId="134" type="noConversion"/>
  </si>
  <si>
    <t>8-6-6G</t>
    <phoneticPr fontId="134" type="noConversion"/>
  </si>
  <si>
    <t>4-1-1-2</t>
    <phoneticPr fontId="134" type="noConversion"/>
  </si>
  <si>
    <t>七通</t>
    <phoneticPr fontId="134" type="noConversion"/>
  </si>
  <si>
    <t>3-4-6C</t>
    <phoneticPr fontId="134" type="noConversion"/>
  </si>
  <si>
    <t>住宅</t>
    <phoneticPr fontId="134" type="noConversion"/>
  </si>
  <si>
    <t>精装修</t>
    <phoneticPr fontId="134" type="noConversion"/>
  </si>
  <si>
    <t>3-1-5A</t>
    <phoneticPr fontId="134" type="noConversion"/>
  </si>
  <si>
    <t>4-1-1-2</t>
    <phoneticPr fontId="134" type="noConversion"/>
  </si>
  <si>
    <t>9-4-15G</t>
    <phoneticPr fontId="134" type="noConversion"/>
  </si>
  <si>
    <t>12-2-12C</t>
    <phoneticPr fontId="134" type="noConversion"/>
  </si>
  <si>
    <t>12-1-10A</t>
    <phoneticPr fontId="134" type="noConversion"/>
  </si>
  <si>
    <t>12-7-1C</t>
    <phoneticPr fontId="134" type="noConversion"/>
  </si>
  <si>
    <t>12-7-8B</t>
    <phoneticPr fontId="134" type="noConversion"/>
  </si>
  <si>
    <t>11-2-2D</t>
    <phoneticPr fontId="134" type="noConversion"/>
  </si>
  <si>
    <t>5-1-3B</t>
    <phoneticPr fontId="134" type="noConversion"/>
  </si>
  <si>
    <t>5-8-10G</t>
    <phoneticPr fontId="134" type="noConversion"/>
  </si>
  <si>
    <t>12-6-2B</t>
    <phoneticPr fontId="134" type="noConversion"/>
  </si>
  <si>
    <t>11-6-15F</t>
    <phoneticPr fontId="134" type="noConversion"/>
  </si>
  <si>
    <t>1-2-3C</t>
    <phoneticPr fontId="134" type="noConversion"/>
  </si>
  <si>
    <t>住宅</t>
    <phoneticPr fontId="134" type="noConversion"/>
  </si>
  <si>
    <t>精装修</t>
    <phoneticPr fontId="134" type="noConversion"/>
  </si>
  <si>
    <t>5-1-12B</t>
    <phoneticPr fontId="134" type="noConversion"/>
  </si>
  <si>
    <t>5-6-5D</t>
    <phoneticPr fontId="134" type="noConversion"/>
  </si>
  <si>
    <t>七通</t>
    <phoneticPr fontId="134" type="noConversion"/>
  </si>
  <si>
    <t>春荫园</t>
    <phoneticPr fontId="3" type="noConversion"/>
  </si>
  <si>
    <t>10/12(高楼层）</t>
    <phoneticPr fontId="134" type="noConversion"/>
  </si>
  <si>
    <t>8/12(高楼层）</t>
    <phoneticPr fontId="134" type="noConversion"/>
  </si>
  <si>
    <t>5/12(中楼层）</t>
    <phoneticPr fontId="134" type="noConversion"/>
  </si>
  <si>
    <t>城市次干道</t>
    <phoneticPr fontId="24" type="noConversion"/>
  </si>
  <si>
    <t>一般</t>
  </si>
  <si>
    <t>简单装修</t>
  </si>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</sst>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
    <numFmt numFmtId="197" formatCode="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rgb="FFFF0000"/>
      <name val="宋体"/>
      <family val="3"/>
      <charset val="134"/>
      <scheme val="minor"/>
    </font>
    <font>
      <sz val="8"/>
      <color rgb="FFFF0000"/>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177"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275" fillId="10" borderId="1" xfId="0" applyFont="1" applyFill="1" applyBorder="1" applyAlignment="1">
      <alignment horizontal="center" vertical="center" wrapText="1"/>
    </xf>
    <xf numFmtId="31" fontId="275" fillId="10" borderId="1" xfId="0" applyNumberFormat="1" applyFont="1" applyFill="1" applyBorder="1" applyAlignment="1">
      <alignment horizontal="center" vertical="center" wrapText="1"/>
    </xf>
    <xf numFmtId="196" fontId="0" fillId="0" borderId="0" xfId="0" applyNumberFormat="1" applyAlignment="1"/>
    <xf numFmtId="0" fontId="274" fillId="0" borderId="0" xfId="0" applyFont="1" applyAlignment="1"/>
    <xf numFmtId="0" fontId="274" fillId="0" borderId="0" xfId="0" applyFont="1">
      <alignment vertical="center"/>
    </xf>
    <xf numFmtId="196" fontId="0" fillId="22" borderId="0" xfId="0" applyNumberFormat="1" applyFill="1" applyAlignment="1"/>
    <xf numFmtId="196" fontId="0" fillId="23" borderId="0" xfId="0" applyNumberFormat="1" applyFill="1" applyAlignment="1"/>
    <xf numFmtId="196" fontId="0" fillId="24" borderId="0" xfId="0" applyNumberFormat="1" applyFill="1" applyAlignment="1"/>
    <xf numFmtId="0" fontId="0" fillId="24" borderId="0" xfId="0" applyFill="1" applyAlignment="1"/>
    <xf numFmtId="0" fontId="274" fillId="24" borderId="0" xfId="0" applyFont="1" applyFill="1" applyAlignment="1"/>
    <xf numFmtId="17" fontId="0" fillId="0" borderId="0" xfId="0" applyNumberFormat="1" applyAlignment="1"/>
    <xf numFmtId="10" fontId="0" fillId="0" borderId="0" xfId="0" applyNumberFormat="1">
      <alignment vertical="center"/>
    </xf>
    <xf numFmtId="10" fontId="95" fillId="0" borderId="0" xfId="0" applyNumberFormat="1" applyFont="1">
      <alignment vertical="center"/>
    </xf>
    <xf numFmtId="182" fontId="0" fillId="0" borderId="0" xfId="0" applyNumberFormat="1">
      <alignment vertical="center"/>
    </xf>
    <xf numFmtId="197" fontId="52" fillId="6" borderId="1" xfId="0" applyNumberFormat="1" applyFont="1" applyFill="1" applyBorder="1" applyAlignment="1" applyProtection="1">
      <alignment horizontal="center" vertical="center"/>
    </xf>
    <xf numFmtId="0" fontId="0" fillId="7" borderId="0" xfId="0" applyFill="1">
      <alignment vertical="center"/>
    </xf>
    <xf numFmtId="0" fontId="0" fillId="5" borderId="0" xfId="0" applyFill="1">
      <alignment vertical="center"/>
    </xf>
    <xf numFmtId="49" fontId="95" fillId="0" borderId="0" xfId="0" applyNumberFormat="1" applyFont="1">
      <alignment vertical="center"/>
    </xf>
    <xf numFmtId="49" fontId="0" fillId="0" borderId="0" xfId="0" applyNumberFormat="1">
      <alignment vertical="center"/>
    </xf>
    <xf numFmtId="177" fontId="95" fillId="0" borderId="0" xfId="0" applyNumberFormat="1" applyFont="1">
      <alignment vertical="center"/>
    </xf>
    <xf numFmtId="49" fontId="276" fillId="0" borderId="0" xfId="0" applyNumberFormat="1" applyFont="1">
      <alignment vertical="center"/>
    </xf>
    <xf numFmtId="177" fontId="276" fillId="0" borderId="0" xfId="0" applyNumberFormat="1" applyFont="1">
      <alignment vertical="center"/>
    </xf>
    <xf numFmtId="177" fontId="95" fillId="5" borderId="0" xfId="0" applyNumberFormat="1" applyFont="1" applyFill="1">
      <alignment vertical="center"/>
    </xf>
    <xf numFmtId="177" fontId="276" fillId="5" borderId="0" xfId="0" applyNumberFormat="1" applyFont="1" applyFill="1">
      <alignment vertical="center"/>
    </xf>
    <xf numFmtId="49" fontId="276" fillId="5" borderId="0" xfId="0" applyNumberFormat="1" applyFont="1" applyFill="1">
      <alignment vertical="center"/>
    </xf>
    <xf numFmtId="49" fontId="95" fillId="5" borderId="0" xfId="0" applyNumberFormat="1" applyFont="1" applyFill="1">
      <alignment vertical="center"/>
    </xf>
    <xf numFmtId="0" fontId="275" fillId="5" borderId="1" xfId="0" applyFont="1" applyFill="1" applyBorder="1" applyAlignment="1">
      <alignment horizontal="center" vertical="center" wrapText="1"/>
    </xf>
    <xf numFmtId="31" fontId="275" fillId="5" borderId="1" xfId="0" applyNumberFormat="1" applyFont="1" applyFill="1" applyBorder="1" applyAlignment="1">
      <alignment horizontal="center" vertical="center" wrapText="1"/>
    </xf>
    <xf numFmtId="0" fontId="128" fillId="0" borderId="41" xfId="0" applyNumberFormat="1" applyFont="1" applyFill="1" applyBorder="1" applyAlignment="1" applyProtection="1">
      <alignment horizontal="center" vertical="center" wrapText="1"/>
      <protection locked="0"/>
    </xf>
    <xf numFmtId="0" fontId="51" fillId="9" borderId="37" xfId="0" applyNumberFormat="1" applyFont="1" applyFill="1" applyBorder="1" applyAlignment="1" applyProtection="1">
      <alignment horizontal="center" vertical="center" wrapText="1"/>
      <protection locked="0"/>
    </xf>
    <xf numFmtId="0" fontId="70" fillId="9" borderId="20" xfId="0" applyNumberFormat="1" applyFont="1" applyFill="1" applyBorder="1" applyAlignment="1" applyProtection="1">
      <alignment vertical="center" wrapText="1"/>
      <protection locked="0"/>
    </xf>
    <xf numFmtId="0" fontId="70" fillId="9" borderId="20" xfId="0" applyNumberFormat="1" applyFont="1" applyFill="1" applyBorder="1" applyAlignment="1" applyProtection="1">
      <alignment vertical="center" wrapText="1"/>
    </xf>
    <xf numFmtId="0" fontId="70" fillId="9" borderId="5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323850</xdr:colOff>
      <xdr:row>35</xdr:row>
      <xdr:rowOff>66675</xdr:rowOff>
    </xdr:from>
    <xdr:to>
      <xdr:col>24</xdr:col>
      <xdr:colOff>237793</xdr:colOff>
      <xdr:row>51</xdr:row>
      <xdr:rowOff>47284</xdr:rowOff>
    </xdr:to>
    <xdr:pic>
      <xdr:nvPicPr>
        <xdr:cNvPr id="8" name="图片 7">
          <a:extLst>
            <a:ext uri="{FF2B5EF4-FFF2-40B4-BE49-F238E27FC236}">
              <a16:creationId xmlns:a16="http://schemas.microsoft.com/office/drawing/2014/main" xmlns=""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9525</xdr:colOff>
      <xdr:row>9</xdr:row>
      <xdr:rowOff>85725</xdr:rowOff>
    </xdr:from>
    <xdr:to>
      <xdr:col>9</xdr:col>
      <xdr:colOff>8433</xdr:colOff>
      <xdr:row>33</xdr:row>
      <xdr:rowOff>85211</xdr:rowOff>
    </xdr:to>
    <xdr:pic>
      <xdr:nvPicPr>
        <xdr:cNvPr id="2" name="图片 1"/>
        <xdr:cNvPicPr>
          <a:picLocks noChangeAspect="1"/>
        </xdr:cNvPicPr>
      </xdr:nvPicPr>
      <xdr:blipFill>
        <a:blip xmlns:r="http://schemas.openxmlformats.org/officeDocument/2006/relationships" r:embed="rId2"/>
        <a:stretch>
          <a:fillRect/>
        </a:stretch>
      </xdr:blipFill>
      <xdr:spPr>
        <a:xfrm>
          <a:off x="9525" y="1638300"/>
          <a:ext cx="8733333" cy="4114286"/>
        </a:xfrm>
        <a:prstGeom prst="rect">
          <a:avLst/>
        </a:prstGeom>
      </xdr:spPr>
    </xdr:pic>
    <xdr:clientData/>
  </xdr:twoCellAnchor>
  <xdr:twoCellAnchor editAs="oneCell">
    <xdr:from>
      <xdr:col>0</xdr:col>
      <xdr:colOff>0</xdr:colOff>
      <xdr:row>32</xdr:row>
      <xdr:rowOff>0</xdr:rowOff>
    </xdr:from>
    <xdr:to>
      <xdr:col>8</xdr:col>
      <xdr:colOff>284708</xdr:colOff>
      <xdr:row>55</xdr:row>
      <xdr:rowOff>18555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5667375"/>
          <a:ext cx="8333333" cy="3961905"/>
        </a:xfrm>
        <a:prstGeom prst="rect">
          <a:avLst/>
        </a:prstGeom>
      </xdr:spPr>
    </xdr:pic>
    <xdr:clientData/>
  </xdr:twoCellAnchor>
  <xdr:twoCellAnchor editAs="oneCell">
    <xdr:from>
      <xdr:col>0</xdr:col>
      <xdr:colOff>0</xdr:colOff>
      <xdr:row>56</xdr:row>
      <xdr:rowOff>0</xdr:rowOff>
    </xdr:from>
    <xdr:to>
      <xdr:col>8</xdr:col>
      <xdr:colOff>170423</xdr:colOff>
      <xdr:row>79</xdr:row>
      <xdr:rowOff>142364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9782175"/>
          <a:ext cx="8219048" cy="4085714"/>
        </a:xfrm>
        <a:prstGeom prst="rect">
          <a:avLst/>
        </a:prstGeom>
      </xdr:spPr>
    </xdr:pic>
    <xdr:clientData/>
  </xdr:twoCellAnchor>
  <xdr:twoCellAnchor editAs="oneCell">
    <xdr:from>
      <xdr:col>0</xdr:col>
      <xdr:colOff>0</xdr:colOff>
      <xdr:row>80</xdr:row>
      <xdr:rowOff>0</xdr:rowOff>
    </xdr:from>
    <xdr:to>
      <xdr:col>8</xdr:col>
      <xdr:colOff>56137</xdr:colOff>
      <xdr:row>104</xdr:row>
      <xdr:rowOff>85200</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3896975"/>
          <a:ext cx="8104762" cy="4200000"/>
        </a:xfrm>
        <a:prstGeom prst="rect">
          <a:avLst/>
        </a:prstGeom>
      </xdr:spPr>
    </xdr:pic>
    <xdr:clientData/>
  </xdr:twoCellAnchor>
  <xdr:twoCellAnchor editAs="oneCell">
    <xdr:from>
      <xdr:col>9</xdr:col>
      <xdr:colOff>0</xdr:colOff>
      <xdr:row>9</xdr:row>
      <xdr:rowOff>104775</xdr:rowOff>
    </xdr:from>
    <xdr:to>
      <xdr:col>22</xdr:col>
      <xdr:colOff>227457</xdr:colOff>
      <xdr:row>34</xdr:row>
      <xdr:rowOff>75668</xdr:rowOff>
    </xdr:to>
    <xdr:pic>
      <xdr:nvPicPr>
        <xdr:cNvPr id="6" name="图片 5"/>
        <xdr:cNvPicPr>
          <a:picLocks noChangeAspect="1"/>
        </xdr:cNvPicPr>
      </xdr:nvPicPr>
      <xdr:blipFill>
        <a:blip xmlns:r="http://schemas.openxmlformats.org/officeDocument/2006/relationships" r:embed="rId6"/>
        <a:stretch>
          <a:fillRect/>
        </a:stretch>
      </xdr:blipFill>
      <xdr:spPr>
        <a:xfrm>
          <a:off x="8734425" y="1657350"/>
          <a:ext cx="9142857"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9</xdr:row>
      <xdr:rowOff>1041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8334375" cy="1544091"/>
        </a:xfrm>
        <a:prstGeom prst="rect">
          <a:avLst/>
        </a:prstGeom>
      </xdr:spPr>
    </xdr:pic>
    <xdr:clientData/>
  </xdr:twoCellAnchor>
  <xdr:twoCellAnchor editAs="oneCell">
    <xdr:from>
      <xdr:col>0</xdr:col>
      <xdr:colOff>0</xdr:colOff>
      <xdr:row>10</xdr:row>
      <xdr:rowOff>30423</xdr:rowOff>
    </xdr:from>
    <xdr:to>
      <xdr:col>9</xdr:col>
      <xdr:colOff>438150</xdr:colOff>
      <xdr:row>27</xdr:row>
      <xdr:rowOff>170919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44923"/>
          <a:ext cx="6610350" cy="3055146"/>
        </a:xfrm>
        <a:prstGeom prst="rect">
          <a:avLst/>
        </a:prstGeom>
      </xdr:spPr>
    </xdr:pic>
    <xdr:clientData/>
  </xdr:twoCellAnchor>
  <xdr:twoCellAnchor editAs="oneCell">
    <xdr:from>
      <xdr:col>0</xdr:col>
      <xdr:colOff>0</xdr:colOff>
      <xdr:row>28</xdr:row>
      <xdr:rowOff>6464</xdr:rowOff>
    </xdr:from>
    <xdr:to>
      <xdr:col>9</xdr:col>
      <xdr:colOff>561975</xdr:colOff>
      <xdr:row>45</xdr:row>
      <xdr:rowOff>37587</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4807064"/>
          <a:ext cx="6734175" cy="2945773"/>
        </a:xfrm>
        <a:prstGeom prst="rect">
          <a:avLst/>
        </a:prstGeom>
      </xdr:spPr>
    </xdr:pic>
    <xdr:clientData/>
  </xdr:twoCellAnchor>
  <xdr:twoCellAnchor editAs="oneCell">
    <xdr:from>
      <xdr:col>0</xdr:col>
      <xdr:colOff>0</xdr:colOff>
      <xdr:row>45</xdr:row>
      <xdr:rowOff>77340</xdr:rowOff>
    </xdr:from>
    <xdr:to>
      <xdr:col>9</xdr:col>
      <xdr:colOff>612022</xdr:colOff>
      <xdr:row>63</xdr:row>
      <xdr:rowOff>152399</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792590"/>
          <a:ext cx="6784222" cy="3161159"/>
        </a:xfrm>
        <a:prstGeom prst="rect">
          <a:avLst/>
        </a:prstGeom>
      </xdr:spPr>
    </xdr:pic>
    <xdr:clientData/>
  </xdr:twoCellAnchor>
  <xdr:twoCellAnchor editAs="oneCell">
    <xdr:from>
      <xdr:col>0</xdr:col>
      <xdr:colOff>57150</xdr:colOff>
      <xdr:row>64</xdr:row>
      <xdr:rowOff>61183</xdr:rowOff>
    </xdr:from>
    <xdr:to>
      <xdr:col>10</xdr:col>
      <xdr:colOff>38100</xdr:colOff>
      <xdr:row>82</xdr:row>
      <xdr:rowOff>94730</xdr:rowOff>
    </xdr:to>
    <xdr:pic>
      <xdr:nvPicPr>
        <xdr:cNvPr id="13" name="图片 12"/>
        <xdr:cNvPicPr>
          <a:picLocks noChangeAspect="1"/>
        </xdr:cNvPicPr>
      </xdr:nvPicPr>
      <xdr:blipFill>
        <a:blip xmlns:r="http://schemas.openxmlformats.org/officeDocument/2006/relationships" r:embed="rId5"/>
        <a:stretch>
          <a:fillRect/>
        </a:stretch>
      </xdr:blipFill>
      <xdr:spPr>
        <a:xfrm>
          <a:off x="57150" y="11033983"/>
          <a:ext cx="6838950" cy="3119647"/>
        </a:xfrm>
        <a:prstGeom prst="rect">
          <a:avLst/>
        </a:prstGeom>
      </xdr:spPr>
    </xdr:pic>
    <xdr:clientData/>
  </xdr:twoCellAnchor>
  <xdr:twoCellAnchor editAs="oneCell">
    <xdr:from>
      <xdr:col>0</xdr:col>
      <xdr:colOff>0</xdr:colOff>
      <xdr:row>83</xdr:row>
      <xdr:rowOff>0</xdr:rowOff>
    </xdr:from>
    <xdr:to>
      <xdr:col>10</xdr:col>
      <xdr:colOff>171450</xdr:colOff>
      <xdr:row>91</xdr:row>
      <xdr:rowOff>94711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14230350"/>
          <a:ext cx="7029450" cy="14663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304800</xdr:colOff>
      <xdr:row>2</xdr:row>
      <xdr:rowOff>66675</xdr:rowOff>
    </xdr:from>
    <xdr:to>
      <xdr:col>18</xdr:col>
      <xdr:colOff>104543</xdr:colOff>
      <xdr:row>19</xdr:row>
      <xdr:rowOff>85358</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0" y="409575"/>
          <a:ext cx="1857143" cy="2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76200</xdr:rowOff>
    </xdr:from>
    <xdr:to>
      <xdr:col>15</xdr:col>
      <xdr:colOff>522602</xdr:colOff>
      <xdr:row>6</xdr:row>
      <xdr:rowOff>142836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6200"/>
          <a:ext cx="10180952" cy="314286"/>
        </a:xfrm>
        <a:prstGeom prst="rect">
          <a:avLst/>
        </a:prstGeom>
      </xdr:spPr>
    </xdr:pic>
    <xdr:clientData/>
  </xdr:twoCellAnchor>
  <xdr:twoCellAnchor editAs="oneCell">
    <xdr:from>
      <xdr:col>0</xdr:col>
      <xdr:colOff>0</xdr:colOff>
      <xdr:row>13</xdr:row>
      <xdr:rowOff>57150</xdr:rowOff>
    </xdr:from>
    <xdr:to>
      <xdr:col>15</xdr:col>
      <xdr:colOff>465459</xdr:colOff>
      <xdr:row>24</xdr:row>
      <xdr:rowOff>171095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38350"/>
          <a:ext cx="10123809" cy="2838095"/>
        </a:xfrm>
        <a:prstGeom prst="rect">
          <a:avLst/>
        </a:prstGeom>
      </xdr:spPr>
    </xdr:pic>
    <xdr:clientData/>
  </xdr:twoCellAnchor>
  <xdr:twoCellAnchor editAs="oneCell">
    <xdr:from>
      <xdr:col>0</xdr:col>
      <xdr:colOff>0</xdr:colOff>
      <xdr:row>24</xdr:row>
      <xdr:rowOff>104775</xdr:rowOff>
    </xdr:from>
    <xdr:to>
      <xdr:col>15</xdr:col>
      <xdr:colOff>455936</xdr:colOff>
      <xdr:row>31</xdr:row>
      <xdr:rowOff>190273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048375"/>
          <a:ext cx="10114286" cy="1819048"/>
        </a:xfrm>
        <a:prstGeom prst="rect">
          <a:avLst/>
        </a:prstGeom>
      </xdr:spPr>
    </xdr:pic>
    <xdr:clientData/>
  </xdr:twoCellAnchor>
  <xdr:twoCellAnchor editAs="oneCell">
    <xdr:from>
      <xdr:col>0</xdr:col>
      <xdr:colOff>0</xdr:colOff>
      <xdr:row>31</xdr:row>
      <xdr:rowOff>219075</xdr:rowOff>
    </xdr:from>
    <xdr:to>
      <xdr:col>15</xdr:col>
      <xdr:colOff>732126</xdr:colOff>
      <xdr:row>39</xdr:row>
      <xdr:rowOff>133113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896225"/>
          <a:ext cx="10390476" cy="1895238"/>
        </a:xfrm>
        <a:prstGeom prst="rect">
          <a:avLst/>
        </a:prstGeom>
      </xdr:spPr>
    </xdr:pic>
    <xdr:clientData/>
  </xdr:twoCellAnchor>
  <xdr:twoCellAnchor editAs="oneCell">
    <xdr:from>
      <xdr:col>0</xdr:col>
      <xdr:colOff>0</xdr:colOff>
      <xdr:row>39</xdr:row>
      <xdr:rowOff>0</xdr:rowOff>
    </xdr:from>
    <xdr:to>
      <xdr:col>15</xdr:col>
      <xdr:colOff>617840</xdr:colOff>
      <xdr:row>53</xdr:row>
      <xdr:rowOff>209090</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9658350"/>
          <a:ext cx="10276190" cy="3676190"/>
        </a:xfrm>
        <a:prstGeom prst="rect">
          <a:avLst/>
        </a:prstGeom>
      </xdr:spPr>
    </xdr:pic>
    <xdr:clientData/>
  </xdr:twoCellAnchor>
  <xdr:twoCellAnchor editAs="oneCell">
    <xdr:from>
      <xdr:col>0</xdr:col>
      <xdr:colOff>0</xdr:colOff>
      <xdr:row>54</xdr:row>
      <xdr:rowOff>0</xdr:rowOff>
    </xdr:from>
    <xdr:to>
      <xdr:col>15</xdr:col>
      <xdr:colOff>627364</xdr:colOff>
      <xdr:row>61</xdr:row>
      <xdr:rowOff>133117</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3373100"/>
          <a:ext cx="10285714" cy="1866667"/>
        </a:xfrm>
        <a:prstGeom prst="rect">
          <a:avLst/>
        </a:prstGeom>
      </xdr:spPr>
    </xdr:pic>
    <xdr:clientData/>
  </xdr:twoCellAnchor>
  <xdr:twoCellAnchor editAs="oneCell">
    <xdr:from>
      <xdr:col>0</xdr:col>
      <xdr:colOff>0</xdr:colOff>
      <xdr:row>62</xdr:row>
      <xdr:rowOff>0</xdr:rowOff>
    </xdr:from>
    <xdr:to>
      <xdr:col>15</xdr:col>
      <xdr:colOff>655936</xdr:colOff>
      <xdr:row>73</xdr:row>
      <xdr:rowOff>85374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5354300"/>
          <a:ext cx="10314286" cy="2809524"/>
        </a:xfrm>
        <a:prstGeom prst="rect">
          <a:avLst/>
        </a:prstGeom>
      </xdr:spPr>
    </xdr:pic>
    <xdr:clientData/>
  </xdr:twoCellAnchor>
  <xdr:twoCellAnchor editAs="oneCell">
    <xdr:from>
      <xdr:col>0</xdr:col>
      <xdr:colOff>0</xdr:colOff>
      <xdr:row>74</xdr:row>
      <xdr:rowOff>0</xdr:rowOff>
    </xdr:from>
    <xdr:to>
      <xdr:col>15</xdr:col>
      <xdr:colOff>665459</xdr:colOff>
      <xdr:row>81</xdr:row>
      <xdr:rowOff>123593</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8326100"/>
          <a:ext cx="10323809" cy="1857143"/>
        </a:xfrm>
        <a:prstGeom prst="rect">
          <a:avLst/>
        </a:prstGeom>
      </xdr:spPr>
    </xdr:pic>
    <xdr:clientData/>
  </xdr:twoCellAnchor>
  <xdr:twoCellAnchor editAs="oneCell">
    <xdr:from>
      <xdr:col>0</xdr:col>
      <xdr:colOff>0</xdr:colOff>
      <xdr:row>7</xdr:row>
      <xdr:rowOff>114300</xdr:rowOff>
    </xdr:from>
    <xdr:to>
      <xdr:col>15</xdr:col>
      <xdr:colOff>674983</xdr:colOff>
      <xdr:row>11</xdr:row>
      <xdr:rowOff>104652</xdr:rowOff>
    </xdr:to>
    <xdr:pic>
      <xdr:nvPicPr>
        <xdr:cNvPr id="16" name="图片 15"/>
        <xdr:cNvPicPr>
          <a:picLocks noChangeAspect="1"/>
        </xdr:cNvPicPr>
      </xdr:nvPicPr>
      <xdr:blipFill>
        <a:blip xmlns:r="http://schemas.openxmlformats.org/officeDocument/2006/relationships" r:embed="rId9"/>
        <a:stretch>
          <a:fillRect/>
        </a:stretch>
      </xdr:blipFill>
      <xdr:spPr>
        <a:xfrm>
          <a:off x="0" y="609600"/>
          <a:ext cx="10333333" cy="980952"/>
        </a:xfrm>
        <a:prstGeom prst="rect">
          <a:avLst/>
        </a:prstGeom>
      </xdr:spPr>
    </xdr:pic>
    <xdr:clientData/>
  </xdr:twoCellAnchor>
  <xdr:twoCellAnchor editAs="oneCell">
    <xdr:from>
      <xdr:col>0</xdr:col>
      <xdr:colOff>0</xdr:colOff>
      <xdr:row>81</xdr:row>
      <xdr:rowOff>0</xdr:rowOff>
    </xdr:from>
    <xdr:to>
      <xdr:col>15</xdr:col>
      <xdr:colOff>608317</xdr:colOff>
      <xdr:row>88</xdr:row>
      <xdr:rowOff>209307</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0059650"/>
          <a:ext cx="10266667" cy="1942857"/>
        </a:xfrm>
        <a:prstGeom prst="rect">
          <a:avLst/>
        </a:prstGeom>
      </xdr:spPr>
    </xdr:pic>
    <xdr:clientData/>
  </xdr:twoCellAnchor>
  <xdr:twoCellAnchor editAs="oneCell">
    <xdr:from>
      <xdr:col>0</xdr:col>
      <xdr:colOff>0</xdr:colOff>
      <xdr:row>89</xdr:row>
      <xdr:rowOff>0</xdr:rowOff>
    </xdr:from>
    <xdr:to>
      <xdr:col>15</xdr:col>
      <xdr:colOff>351174</xdr:colOff>
      <xdr:row>92</xdr:row>
      <xdr:rowOff>209431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2040850"/>
          <a:ext cx="10009524"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174913</xdr:colOff>
      <xdr:row>0</xdr:row>
      <xdr:rowOff>0</xdr:rowOff>
    </xdr:from>
    <xdr:to>
      <xdr:col>22</xdr:col>
      <xdr:colOff>311216</xdr:colOff>
      <xdr:row>29</xdr:row>
      <xdr:rowOff>9525</xdr:rowOff>
    </xdr:to>
    <xdr:pic>
      <xdr:nvPicPr>
        <xdr:cNvPr id="3" name="图片 2">
          <a:extLst>
            <a:ext uri="{FF2B5EF4-FFF2-40B4-BE49-F238E27FC236}">
              <a16:creationId xmlns:a16="http://schemas.microsoft.com/office/drawing/2014/main" xmlns="" id="{313C7AA8-9A10-4683-9186-149CF4C8ABAD}"/>
            </a:ext>
          </a:extLst>
        </xdr:cNvPr>
        <xdr:cNvPicPr>
          <a:picLocks noChangeAspect="1"/>
        </xdr:cNvPicPr>
      </xdr:nvPicPr>
      <xdr:blipFill>
        <a:blip xmlns:r="http://schemas.openxmlformats.org/officeDocument/2006/relationships" r:embed="rId1"/>
        <a:stretch>
          <a:fillRect/>
        </a:stretch>
      </xdr:blipFill>
      <xdr:spPr>
        <a:xfrm>
          <a:off x="5119254" y="0"/>
          <a:ext cx="10397326" cy="4685434"/>
        </a:xfrm>
        <a:prstGeom prst="rect">
          <a:avLst/>
        </a:prstGeom>
      </xdr:spPr>
    </xdr:pic>
    <xdr:clientData/>
  </xdr:twoCellAnchor>
  <xdr:twoCellAnchor editAs="oneCell">
    <xdr:from>
      <xdr:col>0</xdr:col>
      <xdr:colOff>0</xdr:colOff>
      <xdr:row>29</xdr:row>
      <xdr:rowOff>0</xdr:rowOff>
    </xdr:from>
    <xdr:to>
      <xdr:col>6</xdr:col>
      <xdr:colOff>170895</xdr:colOff>
      <xdr:row>46</xdr:row>
      <xdr:rowOff>123445</xdr:rowOff>
    </xdr:to>
    <xdr:pic>
      <xdr:nvPicPr>
        <xdr:cNvPr id="4" name="图片 3">
          <a:extLst>
            <a:ext uri="{FF2B5EF4-FFF2-40B4-BE49-F238E27FC236}">
              <a16:creationId xmlns:a16="http://schemas.microsoft.com/office/drawing/2014/main" xmlns="" id="{92D0D5FA-A939-4EFF-A334-8629A77B4A2C}"/>
            </a:ext>
          </a:extLst>
        </xdr:cNvPr>
        <xdr:cNvPicPr>
          <a:picLocks noChangeAspect="1"/>
        </xdr:cNvPicPr>
      </xdr:nvPicPr>
      <xdr:blipFill>
        <a:blip xmlns:r="http://schemas.openxmlformats.org/officeDocument/2006/relationships" r:embed="rId2"/>
        <a:stretch>
          <a:fillRect/>
        </a:stretch>
      </xdr:blipFill>
      <xdr:spPr>
        <a:xfrm>
          <a:off x="0" y="4800600"/>
          <a:ext cx="4438095" cy="3038095"/>
        </a:xfrm>
        <a:prstGeom prst="rect">
          <a:avLst/>
        </a:prstGeom>
      </xdr:spPr>
    </xdr:pic>
    <xdr:clientData/>
  </xdr:twoCellAnchor>
  <xdr:twoCellAnchor editAs="oneCell">
    <xdr:from>
      <xdr:col>0</xdr:col>
      <xdr:colOff>0</xdr:colOff>
      <xdr:row>34</xdr:row>
      <xdr:rowOff>60614</xdr:rowOff>
    </xdr:from>
    <xdr:to>
      <xdr:col>15</xdr:col>
      <xdr:colOff>640257</xdr:colOff>
      <xdr:row>45</xdr:row>
      <xdr:rowOff>107995</xdr:rowOff>
    </xdr:to>
    <xdr:pic>
      <xdr:nvPicPr>
        <xdr:cNvPr id="6" name="图片 5">
          <a:extLst>
            <a:ext uri="{FF2B5EF4-FFF2-40B4-BE49-F238E27FC236}">
              <a16:creationId xmlns:a16="http://schemas.microsoft.com/office/drawing/2014/main" xmlns="" id="{FCB7D624-6DCE-4D62-B2D0-3382F256FDEE}"/>
            </a:ext>
          </a:extLst>
        </xdr:cNvPr>
        <xdr:cNvPicPr>
          <a:picLocks noChangeAspect="1"/>
        </xdr:cNvPicPr>
      </xdr:nvPicPr>
      <xdr:blipFill>
        <a:blip xmlns:r="http://schemas.openxmlformats.org/officeDocument/2006/relationships" r:embed="rId3"/>
        <a:stretch>
          <a:fillRect/>
        </a:stretch>
      </xdr:blipFill>
      <xdr:spPr>
        <a:xfrm>
          <a:off x="0" y="5602432"/>
          <a:ext cx="11057143" cy="1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9</xdr:col>
      <xdr:colOff>85725</xdr:colOff>
      <xdr:row>13</xdr:row>
      <xdr:rowOff>137923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1" y="0"/>
          <a:ext cx="6219824" cy="2366773"/>
        </a:xfrm>
        <a:prstGeom prst="rect">
          <a:avLst/>
        </a:prstGeom>
      </xdr:spPr>
    </xdr:pic>
    <xdr:clientData/>
  </xdr:twoCellAnchor>
  <xdr:twoCellAnchor editAs="oneCell">
    <xdr:from>
      <xdr:col>0</xdr:col>
      <xdr:colOff>0</xdr:colOff>
      <xdr:row>13</xdr:row>
      <xdr:rowOff>83900</xdr:rowOff>
    </xdr:from>
    <xdr:to>
      <xdr:col>9</xdr:col>
      <xdr:colOff>95250</xdr:colOff>
      <xdr:row>26</xdr:row>
      <xdr:rowOff>56762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12750"/>
          <a:ext cx="6267450" cy="2201712"/>
        </a:xfrm>
        <a:prstGeom prst="rect">
          <a:avLst/>
        </a:prstGeom>
      </xdr:spPr>
    </xdr:pic>
    <xdr:clientData/>
  </xdr:twoCellAnchor>
  <xdr:twoCellAnchor editAs="oneCell">
    <xdr:from>
      <xdr:col>0</xdr:col>
      <xdr:colOff>0</xdr:colOff>
      <xdr:row>26</xdr:row>
      <xdr:rowOff>87306</xdr:rowOff>
    </xdr:from>
    <xdr:to>
      <xdr:col>9</xdr:col>
      <xdr:colOff>180975</xdr:colOff>
      <xdr:row>39</xdr:row>
      <xdr:rowOff>123440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45006"/>
          <a:ext cx="6353175" cy="2264984"/>
        </a:xfrm>
        <a:prstGeom prst="rect">
          <a:avLst/>
        </a:prstGeom>
      </xdr:spPr>
    </xdr:pic>
    <xdr:clientData/>
  </xdr:twoCellAnchor>
  <xdr:twoCellAnchor editAs="oneCell">
    <xdr:from>
      <xdr:col>0</xdr:col>
      <xdr:colOff>0</xdr:colOff>
      <xdr:row>39</xdr:row>
      <xdr:rowOff>130081</xdr:rowOff>
    </xdr:from>
    <xdr:to>
      <xdr:col>9</xdr:col>
      <xdr:colOff>95250</xdr:colOff>
      <xdr:row>53</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816631"/>
          <a:ext cx="6267450" cy="2336894"/>
        </a:xfrm>
        <a:prstGeom prst="rect">
          <a:avLst/>
        </a:prstGeom>
      </xdr:spPr>
    </xdr:pic>
    <xdr:clientData/>
  </xdr:twoCellAnchor>
  <xdr:twoCellAnchor editAs="oneCell">
    <xdr:from>
      <xdr:col>0</xdr:col>
      <xdr:colOff>0</xdr:colOff>
      <xdr:row>53</xdr:row>
      <xdr:rowOff>85725</xdr:rowOff>
    </xdr:from>
    <xdr:to>
      <xdr:col>9</xdr:col>
      <xdr:colOff>335759</xdr:colOff>
      <xdr:row>66</xdr:row>
      <xdr:rowOff>142493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172575"/>
          <a:ext cx="6507959" cy="2285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估价对象为北京市房地产，为所有。根据《国有土地使用证》[]，估价对象（分摊）出让国有建设用地使用权面积为0平方米，建筑面积为180.33平方米。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估价对象为北京市房地产,属开发建设的，该项目尚在开发建设中。根据《国有土地使用证》[]，估价对象（分摊）出让国有建设用地使用权面积为0平方米，规划建筑面积为180.33平方米。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2024年3月13日（评估专业人员实地查勘之日）</v>
      </c>
    </row>
    <row r="13" spans="1:2" s="1202" customFormat="1">
      <c r="A13" s="1200" t="s">
        <v>529</v>
      </c>
      <c r="B13" s="1201"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180.33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0"/>
      <c r="B54" s="1553" t="s">
        <v>385</v>
      </c>
      <c r="C54" s="1550" t="s">
        <v>583</v>
      </c>
    </row>
    <row r="55" spans="1:4">
      <c r="A55" s="3570"/>
      <c r="B55" s="1553" t="s">
        <v>386</v>
      </c>
      <c r="C55" s="1550" t="s">
        <v>584</v>
      </c>
    </row>
    <row r="56" spans="1:4">
      <c r="A56" s="3570"/>
      <c r="B56" s="1553" t="s">
        <v>387</v>
      </c>
      <c r="C56" s="1550" t="s">
        <v>588</v>
      </c>
    </row>
    <row r="57" spans="1:4">
      <c r="A57" s="357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71" t="s">
        <v>2583</v>
      </c>
      <c r="J2" s="3571"/>
      <c r="K2" s="3571"/>
      <c r="L2" s="3571"/>
      <c r="M2" s="3571"/>
      <c r="N2" s="3571"/>
      <c r="O2" s="3571"/>
      <c r="P2" s="3571"/>
      <c r="Q2" s="3571"/>
      <c r="R2" s="3571"/>
    </row>
    <row r="3" spans="1:18">
      <c r="A3" s="3019" t="s">
        <v>2504</v>
      </c>
      <c r="B3" s="3020">
        <f>项目基本情况!D3</f>
        <v>45364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32.79</v>
      </c>
      <c r="D7" s="3024">
        <f>IF(ISERROR(ROUND(POWER(1+E7,A7-C7)*(POWER(1+E7,C7)-1)/(POWER(1+E7,A7)-1),3)),0,ROUND(POWER(1+E7,A7-C7)*(POWER(1+E7,C7)-1)/(POWER(1+E7,A7)-1),4))</f>
        <v>0.77329999999999999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72" t="str">
        <f>IF(B10="北京市","北京市",C10)&amp;F10&amp;IF(结果表!G1="在建","出让国有建设用地使用权及在建建筑物",IF(结果表!G1="土地","出让国有建设用地使用权",))&amp;B9&amp;"预评估"</f>
        <v>北京市预评估</v>
      </c>
      <c r="C1" s="3573"/>
      <c r="D1" s="3573"/>
      <c r="E1" s="3573"/>
      <c r="F1" s="3573"/>
      <c r="G1" s="3573"/>
      <c r="H1" s="3573"/>
      <c r="I1" s="357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45364</v>
      </c>
      <c r="C3" s="2373" t="s">
        <v>2171</v>
      </c>
      <c r="D3" s="2372">
        <f>B3</f>
        <v>45364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3474</v>
      </c>
      <c r="C4" s="2375">
        <f ca="1">SUMIF(注册房地产估价师,B4,估价师及机构信息!B3:B24)</f>
        <v>1120060040</v>
      </c>
      <c r="D4" s="2374" t="s">
        <v>3475</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75" t="s">
        <v>2177</v>
      </c>
      <c r="E8" s="2390"/>
      <c r="F8" s="2391"/>
      <c r="G8" s="2662"/>
      <c r="H8" s="2662"/>
      <c r="I8" s="2662"/>
      <c r="J8" s="2438"/>
      <c r="K8" s="2613"/>
      <c r="L8" s="2612"/>
      <c r="M8" s="2612"/>
      <c r="N8" s="2438"/>
      <c r="O8" s="2449"/>
      <c r="P8" s="2438"/>
      <c r="Q8" s="2438"/>
      <c r="R8" s="2438"/>
    </row>
    <row r="9" spans="1:30" ht="13.5" thickBot="1">
      <c r="A9" s="2392" t="s">
        <v>2178</v>
      </c>
      <c r="B9" s="2393"/>
      <c r="C9" s="2394"/>
      <c r="D9" s="3576"/>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63091</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48.56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82"/>
      <c r="C16" s="3583"/>
      <c r="D16" s="3584"/>
      <c r="E16" s="2412" t="s">
        <v>2194</v>
      </c>
      <c r="F16" s="3585"/>
      <c r="G16" s="3586"/>
      <c r="H16" s="3586"/>
      <c r="I16" s="3587"/>
      <c r="J16" s="2438"/>
      <c r="K16" s="2616"/>
      <c r="L16" s="2450"/>
      <c r="M16" s="2450"/>
      <c r="N16" s="2508"/>
      <c r="O16" s="2450"/>
      <c r="P16" s="2508"/>
      <c r="Q16" s="2438"/>
      <c r="R16" s="2438"/>
    </row>
    <row r="17" spans="1:28">
      <c r="A17" s="313" t="s">
        <v>2195</v>
      </c>
      <c r="B17" s="302" t="s">
        <v>2196</v>
      </c>
      <c r="C17" s="8">
        <f>'数据-汇总表'!E3</f>
        <v>180.33</v>
      </c>
      <c r="D17" s="2321" t="s">
        <v>2197</v>
      </c>
      <c r="E17" s="3588" t="s">
        <v>2198</v>
      </c>
      <c r="F17" s="3589"/>
      <c r="G17" s="3589"/>
      <c r="H17" s="3589"/>
      <c r="I17" s="3590"/>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91" t="s">
        <v>2202</v>
      </c>
      <c r="F18" s="3592"/>
      <c r="G18" s="3592"/>
      <c r="H18" s="3592"/>
      <c r="I18" s="359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78" t="s">
        <v>2206</v>
      </c>
      <c r="C20" s="3579"/>
      <c r="D20" s="3580" t="s">
        <v>2207</v>
      </c>
      <c r="E20" s="3581"/>
      <c r="F20" s="2646" t="s">
        <v>1056</v>
      </c>
      <c r="G20" s="2663"/>
      <c r="H20" s="2663"/>
      <c r="I20" s="2663"/>
      <c r="J20" s="2438"/>
      <c r="K20" s="357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7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7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6"/>
      <c r="B30" s="302" t="s">
        <v>2218</v>
      </c>
      <c r="C30" s="3597"/>
      <c r="D30" s="3598"/>
      <c r="E30" s="2663"/>
      <c r="F30" s="2663"/>
      <c r="G30" s="2663"/>
      <c r="H30" s="2663"/>
      <c r="I30" s="2663"/>
      <c r="J30" s="2438"/>
      <c r="K30" s="2615"/>
      <c r="L30" s="2612"/>
      <c r="M30" s="2612"/>
      <c r="N30" s="2438"/>
      <c r="O30" s="2449"/>
      <c r="P30" s="2438"/>
      <c r="Q30" s="2438"/>
      <c r="R30" s="2438"/>
      <c r="S30" s="2438"/>
      <c r="T30" s="2438"/>
      <c r="U30" s="2438"/>
      <c r="V30" s="2438"/>
    </row>
    <row r="31" spans="1:28">
      <c r="A31" s="359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0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0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4" t="s">
        <v>2228</v>
      </c>
      <c r="T34" s="2427" t="str">
        <f>NUMBERSTRING(7-K34,1)&amp;"通"</f>
        <v>七通</v>
      </c>
      <c r="U34" s="2438"/>
      <c r="V34" s="2438"/>
    </row>
    <row r="35" spans="1:30">
      <c r="A35" s="2428"/>
      <c r="B35" s="3601" t="s">
        <v>2229</v>
      </c>
      <c r="C35" s="3601"/>
      <c r="D35" s="3601"/>
      <c r="E35" s="360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180.33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180.33</v>
      </c>
      <c r="H5" s="13">
        <f t="shared" ref="H5:AT5" si="0">SUM(H13:H656)</f>
        <v>180.33</v>
      </c>
      <c r="I5" s="13">
        <f t="shared" si="0"/>
        <v>180.33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180.33</v>
      </c>
      <c r="BA5" s="15">
        <f t="shared" si="1"/>
        <v>180.33</v>
      </c>
      <c r="BB5" s="15">
        <f t="shared" si="1"/>
        <v>180.33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180.33</v>
      </c>
      <c r="H13" s="17">
        <f>SUMIF(I$12:AB$12,"总值",I13:AB13)</f>
        <v>180.33</v>
      </c>
      <c r="I13" s="1625">
        <v>180.33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180.33</v>
      </c>
      <c r="BA13" s="13">
        <f>SUM(BB13:BK13)</f>
        <v>180.33</v>
      </c>
      <c r="BB13" s="13">
        <f>IF($D13="是",I13-J13,0)</f>
        <v>180.33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611" t="s">
        <v>1131</v>
      </c>
      <c r="B2" s="3611"/>
      <c r="C2" s="3611"/>
      <c r="D2" s="796" t="s">
        <v>1107</v>
      </c>
      <c r="E2" s="1638" t="s">
        <v>1108</v>
      </c>
      <c r="F2" s="2658"/>
      <c r="G2" s="2649"/>
      <c r="H2" s="2650"/>
      <c r="I2" s="2324" t="s">
        <v>1132</v>
      </c>
      <c r="J2" s="2658"/>
      <c r="K2" s="2658"/>
      <c r="L2" s="2658"/>
      <c r="M2" s="2658"/>
      <c r="N2" s="2660"/>
      <c r="O2" s="2658"/>
      <c r="P2" s="2658"/>
    </row>
    <row r="3" spans="1:16" ht="15.75" thickBot="1">
      <c r="A3" s="3612" t="s">
        <v>1105</v>
      </c>
      <c r="B3" s="3612"/>
      <c r="C3" s="3612"/>
      <c r="D3" s="43">
        <f>'数据-基础表'!AY6</f>
        <v>0</v>
      </c>
      <c r="E3" s="43">
        <f>'数据-基础表'!AZ5</f>
        <v>180.33</v>
      </c>
      <c r="F3" s="2658"/>
      <c r="G3" s="1145"/>
      <c r="H3" s="1026" t="s">
        <v>1106</v>
      </c>
      <c r="I3" s="855" t="e">
        <f>ROUND('数据-基础表'!B3/'数据-基础表'!A3,2)</f>
        <v>#DIV/0!</v>
      </c>
      <c r="J3" s="2658"/>
      <c r="K3" s="2658"/>
      <c r="L3" s="2658"/>
      <c r="M3" s="2658"/>
      <c r="N3" s="2660"/>
      <c r="O3" s="2658"/>
      <c r="P3" s="2658"/>
    </row>
    <row r="4" spans="1:16" ht="15">
      <c r="A4" s="3613"/>
      <c r="B4" s="3614"/>
      <c r="C4" s="3615"/>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16" t="s">
        <v>1110</v>
      </c>
      <c r="C5" s="3616"/>
      <c r="D5" s="45">
        <f>ROUND($D$3*E5/$E$3,2)</f>
        <v>0</v>
      </c>
      <c r="E5" s="46">
        <f>SUMIF('数据-基础表'!$11:$11,"住宅",'数据-基础表'!$5:$5)</f>
        <v>180.33</v>
      </c>
      <c r="F5" s="2658"/>
      <c r="G5" s="1145"/>
      <c r="H5" s="1026" t="s">
        <v>1106</v>
      </c>
      <c r="I5" s="855" t="e">
        <f>ROUND(E31/D31,2)</f>
        <v>#DIV/0!</v>
      </c>
      <c r="J5" s="2658"/>
      <c r="K5" s="2658"/>
      <c r="L5" s="2658"/>
      <c r="M5" s="2658"/>
      <c r="N5" s="2658"/>
      <c r="O5" s="2658"/>
      <c r="P5" s="2658"/>
    </row>
    <row r="6" spans="1:16" ht="15" thickBot="1">
      <c r="A6" s="1643"/>
      <c r="B6" s="3616" t="s">
        <v>1111</v>
      </c>
      <c r="C6" s="3616"/>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608"/>
      <c r="B7" s="3609"/>
      <c r="C7" s="3610"/>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180.33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180.33</v>
      </c>
      <c r="F16" s="2658"/>
      <c r="G16" s="2659"/>
      <c r="H16" s="1647" t="s">
        <v>1135</v>
      </c>
      <c r="I16" s="1648"/>
      <c r="J16" s="1139"/>
      <c r="K16" s="3605" t="s">
        <v>1135</v>
      </c>
      <c r="L16" s="3606"/>
      <c r="M16" s="3606"/>
      <c r="N16" s="3606"/>
      <c r="O16" s="3606"/>
      <c r="P16" s="3607"/>
    </row>
    <row r="17" spans="1:19" ht="15">
      <c r="A17" s="1649" t="s">
        <v>1136</v>
      </c>
      <c r="B17" s="1650" t="s">
        <v>1137</v>
      </c>
      <c r="C17" s="1651" t="s">
        <v>1138</v>
      </c>
      <c r="D17" s="1652" t="s">
        <v>1126</v>
      </c>
      <c r="E17" s="1653" t="s">
        <v>1127</v>
      </c>
      <c r="F17" s="1654"/>
      <c r="G17" s="1655"/>
      <c r="H17" s="1656" t="s">
        <v>1139</v>
      </c>
      <c r="I17" s="1657" t="s">
        <v>1124</v>
      </c>
      <c r="J17" s="1139"/>
      <c r="K17" s="3602" t="s">
        <v>1140</v>
      </c>
      <c r="L17" s="3603"/>
      <c r="M17" s="3604"/>
      <c r="N17" s="3602" t="s">
        <v>1141</v>
      </c>
      <c r="O17" s="3603"/>
      <c r="P17" s="360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180.33</v>
      </c>
      <c r="F19" s="2794">
        <f>'数据-基础表'!I13</f>
        <v>180.33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180.33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180.33</v>
      </c>
      <c r="F27" s="1140">
        <f>IF(SUM(F19:F26)=E8,SUM(F19:F26),"地上面积有误")</f>
        <v>180.33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180.33</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180.33</v>
      </c>
      <c r="F31" s="677">
        <f>F27+F30</f>
        <v>180.33</v>
      </c>
      <c r="G31" s="678">
        <f>G27+G30</f>
        <v>0</v>
      </c>
      <c r="H31" s="2658"/>
      <c r="I31" s="2658"/>
      <c r="J31" s="2658"/>
      <c r="K31" s="2658"/>
      <c r="L31" s="2658"/>
      <c r="M31" s="2658"/>
      <c r="N31" s="2658"/>
      <c r="O31" s="2658"/>
      <c r="P31" s="2658"/>
    </row>
    <row r="32" spans="1:19">
      <c r="A32" s="1642"/>
      <c r="B32" s="1642" t="s">
        <v>1159</v>
      </c>
      <c r="C32" s="1642"/>
      <c r="D32" s="1642"/>
      <c r="E32" s="1053">
        <f>SUMIF(C19:C26,"*住宅*",E19:E26)</f>
        <v>180.33</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63091</v>
      </c>
      <c r="F6" s="64">
        <f>SUMIF(项目基本情况!C$12:I$12,C6,项目基本情况!C$15:I$15)</f>
        <v>48.56</v>
      </c>
      <c r="G6" s="65">
        <f>IF(ISERROR(ROUND(POWER(1+H6,D6-F6)*(POWER(1+H6,F6)-1)/(POWER(1+H6,D6)-1),3)),0,ROUND(POWER(1+H6,D6-F6)*(POWER(1+H6,F6)-1)/(POWER(1+H6,D6)-1),3))</f>
        <v>0.91</v>
      </c>
      <c r="H6" s="732">
        <v>0.04</v>
      </c>
      <c r="I6" s="732">
        <v>0.04</v>
      </c>
      <c r="J6" s="66">
        <v>6.5000000000000002E-2</v>
      </c>
      <c r="K6" s="1030">
        <f>SUMIF('数据-汇总表'!C$19:C$33,A6,'数据-汇总表'!E$19:E$33)</f>
        <v>180.33</v>
      </c>
      <c r="L6" s="733">
        <v>4000</v>
      </c>
      <c r="M6" s="67">
        <f t="shared" ref="M6:M14" si="0">ROUND(K6*L6/10000,0)</f>
        <v>72</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25000</v>
      </c>
      <c r="V6" s="70">
        <v>3.5000000000000003E-2</v>
      </c>
      <c r="W6" s="70">
        <v>0.05</v>
      </c>
      <c r="X6" s="1040"/>
      <c r="Y6" s="71">
        <f>N6</f>
        <v>0.8</v>
      </c>
      <c r="Z6" s="72"/>
      <c r="AA6" s="66"/>
      <c r="AB6" s="66"/>
      <c r="AC6" s="1040"/>
      <c r="AD6" s="73"/>
      <c r="AE6" s="1041">
        <f ca="1">IF(AN6="",0,SUMIF(INDIRECT("'"&amp;AN6&amp;"'"&amp;"!E:E"),$AE$5,INDIRECT("'"&amp;AN6&amp;"'"&amp;"!F:F")))</f>
        <v>48.56</v>
      </c>
      <c r="AF6" s="1347"/>
      <c r="AG6" s="138">
        <f>IF(AF6="",0,AE6-AF6)</f>
        <v>0</v>
      </c>
      <c r="AH6" s="74">
        <v>1</v>
      </c>
      <c r="AI6" s="76">
        <v>12</v>
      </c>
      <c r="AJ6" s="77"/>
      <c r="AK6" s="78">
        <v>0.01</v>
      </c>
      <c r="AL6" s="79">
        <v>1E-3</v>
      </c>
      <c r="AM6" s="80">
        <v>0.01</v>
      </c>
      <c r="AN6" s="1714" t="s">
        <v>3455</v>
      </c>
      <c r="AO6" s="52">
        <f ca="1">SUMIF(INDIRECT("'"&amp;AN6&amp;"'"&amp;"!A:A"),"总价",INDIRECT("'"&amp;AN6&amp;"'"&amp;"!B:B"))</f>
        <v>1127</v>
      </c>
      <c r="AP6" s="1715">
        <f>IF(C6="住宅",K6*L6,0)</f>
        <v>721320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v>
      </c>
      <c r="H16" s="90">
        <f>ROUND(SUMPRODUCT(H6:H13,K6:K13)/SUMPRODUCT((H6:H13&gt;0)*(K6:K13)),3)</f>
        <v>0.04</v>
      </c>
      <c r="I16" s="91"/>
      <c r="J16" s="91"/>
      <c r="K16" s="92">
        <f>SUM(K6:K15)</f>
        <v>180.33</v>
      </c>
      <c r="L16" s="93">
        <f>ROUND(M16*10000/SUM(K6:K14),0)</f>
        <v>3993</v>
      </c>
      <c r="M16" s="93">
        <f>SUM(M6:M14)</f>
        <v>72</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2004</v>
      </c>
      <c r="O19" s="2670">
        <f>N20-N19</f>
        <v>20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2024</v>
      </c>
      <c r="O20" s="2670">
        <f>O19/60</f>
        <v>0.33333333333333331</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0.66666666666666674</v>
      </c>
      <c r="P21" s="2670">
        <f>(O21+O22)/2</f>
        <v>0.73333333333333339</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17" t="s">
        <v>2286</v>
      </c>
      <c r="B1" s="3618"/>
      <c r="C1" s="3618"/>
      <c r="D1" s="3618"/>
      <c r="E1" s="3618"/>
      <c r="F1" s="3618"/>
      <c r="G1" s="361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24" sqref="L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86" t="str">
        <f>项目基本情况!S2</f>
        <v>北京市房地产</v>
      </c>
      <c r="B2" s="3687"/>
      <c r="C2" s="3687"/>
      <c r="D2" s="3687"/>
      <c r="E2" s="3687"/>
      <c r="F2" s="3687"/>
      <c r="G2" s="3687"/>
      <c r="H2" s="3687"/>
      <c r="I2" s="3688"/>
    </row>
    <row r="3" spans="1:12" ht="12.75">
      <c r="A3" s="3690" t="s">
        <v>1264</v>
      </c>
      <c r="B3" s="3691"/>
      <c r="C3" s="3691"/>
      <c r="D3" s="3691"/>
      <c r="E3" s="3691"/>
      <c r="F3" s="3691"/>
      <c r="G3" s="3691"/>
      <c r="H3" s="3691"/>
      <c r="I3" s="3691"/>
    </row>
    <row r="4" spans="1:12" ht="14.25">
      <c r="A4" s="1753" t="s">
        <v>1265</v>
      </c>
      <c r="B4" s="1754" t="s">
        <v>1266</v>
      </c>
      <c r="C4" s="1755" t="s">
        <v>3389</v>
      </c>
      <c r="D4" s="1755" t="s">
        <v>3455</v>
      </c>
      <c r="E4" s="3695" t="s">
        <v>1267</v>
      </c>
      <c r="F4" s="3696"/>
      <c r="G4" s="3696"/>
      <c r="H4" s="3696"/>
      <c r="I4" s="36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4" t="s">
        <v>1268</v>
      </c>
      <c r="B5" s="3689">
        <v>25</v>
      </c>
      <c r="C5" s="3692">
        <v>8</v>
      </c>
      <c r="D5" s="3680">
        <v>2</v>
      </c>
      <c r="E5" s="131" t="s">
        <v>1269</v>
      </c>
      <c r="F5" s="1756"/>
      <c r="G5" s="1756"/>
      <c r="H5" s="1756"/>
      <c r="I5" s="1372"/>
    </row>
    <row r="6" spans="1:12" ht="12.75">
      <c r="A6" s="3634"/>
      <c r="B6" s="3689"/>
      <c r="C6" s="3694"/>
      <c r="D6" s="3680"/>
      <c r="E6" s="131" t="s">
        <v>1270</v>
      </c>
      <c r="F6" s="1756"/>
      <c r="G6" s="1756"/>
      <c r="H6" s="1756"/>
      <c r="I6" s="1372"/>
    </row>
    <row r="7" spans="1:12" ht="12.75">
      <c r="A7" s="3634"/>
      <c r="B7" s="3689"/>
      <c r="C7" s="3693"/>
      <c r="D7" s="3680"/>
      <c r="E7" s="131" t="s">
        <v>1271</v>
      </c>
      <c r="F7" s="1756"/>
      <c r="G7" s="1756"/>
      <c r="H7" s="1756"/>
      <c r="I7" s="1372"/>
    </row>
    <row r="8" spans="1:12" ht="12.75">
      <c r="A8" s="3634" t="s">
        <v>1272</v>
      </c>
      <c r="B8" s="3689">
        <v>15</v>
      </c>
      <c r="C8" s="3692"/>
      <c r="D8" s="3680"/>
      <c r="E8" s="131" t="s">
        <v>1273</v>
      </c>
      <c r="F8" s="1756"/>
      <c r="G8" s="1756"/>
      <c r="H8" s="1756"/>
      <c r="I8" s="1372"/>
    </row>
    <row r="9" spans="1:12" ht="12.75">
      <c r="A9" s="3634"/>
      <c r="B9" s="3689"/>
      <c r="C9" s="3693"/>
      <c r="D9" s="3680"/>
      <c r="E9" s="131" t="s">
        <v>1274</v>
      </c>
      <c r="F9" s="1756"/>
      <c r="G9" s="1756"/>
      <c r="H9" s="1756"/>
      <c r="I9" s="1372"/>
    </row>
    <row r="10" spans="1:12" ht="12.75">
      <c r="A10" s="3634" t="s">
        <v>1275</v>
      </c>
      <c r="B10" s="3689">
        <v>15</v>
      </c>
      <c r="C10" s="3692"/>
      <c r="D10" s="3680"/>
      <c r="E10" s="131" t="s">
        <v>1276</v>
      </c>
      <c r="F10" s="1756"/>
      <c r="G10" s="1756"/>
      <c r="H10" s="1756"/>
      <c r="I10" s="1372"/>
    </row>
    <row r="11" spans="1:12" ht="12.75">
      <c r="A11" s="3634"/>
      <c r="B11" s="3689"/>
      <c r="C11" s="3693"/>
      <c r="D11" s="3680"/>
      <c r="E11" s="131" t="s">
        <v>1277</v>
      </c>
      <c r="F11" s="1756"/>
      <c r="G11" s="1756"/>
      <c r="H11" s="1756"/>
      <c r="I11" s="1372"/>
    </row>
    <row r="12" spans="1:12" ht="12.75">
      <c r="A12" s="3634" t="s">
        <v>1278</v>
      </c>
      <c r="B12" s="3689">
        <v>15</v>
      </c>
      <c r="C12" s="3692"/>
      <c r="D12" s="3680"/>
      <c r="E12" s="131" t="s">
        <v>1279</v>
      </c>
      <c r="F12" s="1756"/>
      <c r="G12" s="1756"/>
      <c r="H12" s="1756"/>
      <c r="I12" s="1372"/>
    </row>
    <row r="13" spans="1:12" ht="12.75">
      <c r="A13" s="3634"/>
      <c r="B13" s="3689"/>
      <c r="C13" s="3693"/>
      <c r="D13" s="3680"/>
      <c r="E13" s="131" t="s">
        <v>1280</v>
      </c>
      <c r="F13" s="1756"/>
      <c r="G13" s="1756"/>
      <c r="H13" s="1756"/>
      <c r="I13" s="1372"/>
    </row>
    <row r="14" spans="1:12" ht="12.75">
      <c r="A14" s="3634" t="s">
        <v>1281</v>
      </c>
      <c r="B14" s="3689">
        <v>30</v>
      </c>
      <c r="C14" s="3692"/>
      <c r="D14" s="3680"/>
      <c r="E14" s="131" t="s">
        <v>1282</v>
      </c>
      <c r="F14" s="1756"/>
      <c r="G14" s="1756"/>
      <c r="H14" s="1756"/>
      <c r="I14" s="1372"/>
    </row>
    <row r="15" spans="1:12" ht="12.75">
      <c r="A15" s="3634"/>
      <c r="B15" s="3689"/>
      <c r="C15" s="3694"/>
      <c r="D15" s="3680"/>
      <c r="E15" s="131" t="s">
        <v>1283</v>
      </c>
      <c r="F15" s="1756"/>
      <c r="G15" s="1756"/>
      <c r="H15" s="1756"/>
      <c r="I15" s="1372"/>
    </row>
    <row r="16" spans="1:12" ht="12.75">
      <c r="A16" s="3634"/>
      <c r="B16" s="3689"/>
      <c r="C16" s="3693"/>
      <c r="D16" s="3680"/>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711" t="s">
        <v>2131</v>
      </c>
      <c r="F18" s="3712"/>
      <c r="G18" s="3712"/>
      <c r="H18" s="3712"/>
      <c r="I18" s="3712"/>
      <c r="K18" s="302" t="s">
        <v>1289</v>
      </c>
      <c r="L18" s="302">
        <f>IF(C1="",'数据-汇总表'!E3,SUMIF(项目类型,C1,'数据-汇总表'!E17:E26)+SUMIF(项目类型,C1,'数据-汇总表'!I17:I26))</f>
        <v>180.33</v>
      </c>
      <c r="M18" s="302">
        <f>IF(C1="",'数据-汇总表'!E3,SUMIF(项目类型,C1,'数据-汇总表'!E17:E26))</f>
        <v>180.33</v>
      </c>
    </row>
    <row r="19" spans="1:36" ht="15">
      <c r="A19" s="1760" t="s">
        <v>1290</v>
      </c>
      <c r="B19" s="1761" t="s">
        <v>1291</v>
      </c>
      <c r="C19" s="134">
        <f ca="1">ROUND(C20*'数据-汇总表'!E19/10000,0)</f>
        <v>2525</v>
      </c>
      <c r="D19" s="135">
        <f ca="1">SUMIF(INDIRECT("'"&amp;D4&amp;"'"&amp;"!A:A"),结果表!B19,INDIRECT("'"&amp;D4&amp;"'"&amp;"!B:B"))</f>
        <v>1127</v>
      </c>
      <c r="E19" s="1760" t="s">
        <v>1292</v>
      </c>
      <c r="F19" s="1761" t="s">
        <v>1291</v>
      </c>
      <c r="G19" s="136">
        <f ca="1">ROUND(C19*$C$18+D19*$D$18,0)</f>
        <v>2245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140014</v>
      </c>
      <c r="D20" s="138">
        <f ca="1">SUMIF(INDIRECT("'"&amp;D4&amp;"'"&amp;"!A:A"),结果表!B20,INDIRECT("'"&amp;D4&amp;"'"&amp;"!B:B"))</f>
        <v>62497</v>
      </c>
      <c r="E20" s="1763"/>
      <c r="F20" s="1026" t="s">
        <v>1295</v>
      </c>
      <c r="G20" s="139">
        <f ca="1">ROUND(C20*$C$18+D20*$D$18,0)</f>
        <v>124511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1.2404614019520852</v>
      </c>
      <c r="E22" s="129"/>
      <c r="F22" s="129"/>
      <c r="G22" s="129">
        <f ca="1">G20*'数据-汇总表'!F19</f>
        <v>22453068.630000003</v>
      </c>
      <c r="H22" s="129"/>
      <c r="I22" s="129"/>
    </row>
    <row r="23" spans="1:36" ht="13.5" thickBot="1">
      <c r="A23" s="1746"/>
      <c r="B23" s="1746"/>
      <c r="C23" s="1746"/>
      <c r="D23" s="1746"/>
      <c r="E23" s="129"/>
      <c r="F23" s="129"/>
      <c r="G23" s="129"/>
      <c r="H23" s="129"/>
      <c r="I23" s="129"/>
    </row>
    <row r="24" spans="1:36" ht="14.25">
      <c r="A24" s="3704" t="s">
        <v>1299</v>
      </c>
      <c r="B24" s="1761" t="s">
        <v>1291</v>
      </c>
      <c r="C24" s="136">
        <f>IF(B30=0,0,D30)</f>
        <v>0</v>
      </c>
      <c r="D24" s="1768"/>
      <c r="E24" s="129"/>
      <c r="F24" s="129"/>
      <c r="G24" s="129"/>
      <c r="H24" s="129"/>
      <c r="I24" s="129"/>
    </row>
    <row r="25" spans="1:36" ht="14.25">
      <c r="A25" s="370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124511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81" t="s">
        <v>1312</v>
      </c>
      <c r="B36" s="1786" t="s">
        <v>1313</v>
      </c>
      <c r="C36" s="145"/>
      <c r="D36" s="1787"/>
      <c r="E36" s="1788"/>
      <c r="F36" s="1789"/>
      <c r="G36" s="129"/>
      <c r="H36" s="129"/>
      <c r="I36" s="129"/>
    </row>
    <row r="37" spans="1:15" ht="15.75" thickBot="1">
      <c r="A37" s="3682"/>
      <c r="B37" s="1673" t="s">
        <v>1314</v>
      </c>
      <c r="C37" s="147"/>
      <c r="D37" s="1139"/>
      <c r="E37" s="1139"/>
      <c r="F37" s="1789"/>
      <c r="G37" s="129"/>
      <c r="H37" s="129"/>
      <c r="I37" s="129"/>
    </row>
    <row r="38" spans="1:15" ht="15.75" thickBot="1">
      <c r="A38" s="368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01" t="s">
        <v>1326</v>
      </c>
      <c r="B45" s="3702"/>
      <c r="C45" s="3703"/>
      <c r="D45" s="155" t="e">
        <f ca="1">ROUND(H101*F45,0)</f>
        <v>#REF!</v>
      </c>
      <c r="E45" s="156" t="s">
        <v>1327</v>
      </c>
      <c r="F45" s="157">
        <v>1</v>
      </c>
      <c r="G45" s="158" t="s">
        <v>1328</v>
      </c>
      <c r="H45" s="129"/>
      <c r="I45" s="129"/>
      <c r="J45" s="3621" t="s">
        <v>1329</v>
      </c>
      <c r="K45" s="3621"/>
      <c r="L45" s="3621"/>
      <c r="M45" s="3621"/>
      <c r="N45" s="3621"/>
      <c r="O45" s="3621"/>
    </row>
    <row r="46" spans="1:15" ht="14.25" customHeight="1">
      <c r="A46" s="3698" t="s">
        <v>1330</v>
      </c>
      <c r="B46" s="3699"/>
      <c r="C46" s="3699"/>
      <c r="D46" s="3699"/>
      <c r="E46" s="3699"/>
      <c r="F46" s="3699"/>
      <c r="G46" s="3700"/>
      <c r="H46" s="1805"/>
      <c r="I46" s="159"/>
      <c r="J46" s="2522">
        <v>1</v>
      </c>
      <c r="K46" s="3622" t="s">
        <v>1331</v>
      </c>
      <c r="L46" s="3622"/>
      <c r="M46" s="3623"/>
      <c r="N46" s="3623"/>
      <c r="O46" s="3623"/>
    </row>
    <row r="47" spans="1:15" ht="12" customHeight="1">
      <c r="A47" s="160" t="s">
        <v>1332</v>
      </c>
      <c r="B47" s="161"/>
      <c r="C47" s="162"/>
      <c r="D47" s="1087" t="s">
        <v>1333</v>
      </c>
      <c r="E47" s="302" t="s">
        <v>1334</v>
      </c>
      <c r="F47" s="163" t="s">
        <v>1335</v>
      </c>
      <c r="G47" s="2545" t="s">
        <v>1336</v>
      </c>
      <c r="H47" s="2546"/>
      <c r="I47" s="159"/>
      <c r="J47" s="2522">
        <v>2</v>
      </c>
      <c r="K47" s="3622" t="s">
        <v>1337</v>
      </c>
      <c r="L47" s="3622"/>
      <c r="M47" s="3624">
        <f>'数据-取费表'!B2</f>
        <v>45364</v>
      </c>
      <c r="N47" s="3624"/>
      <c r="O47" s="3624"/>
    </row>
    <row r="48" spans="1:15" ht="25.5">
      <c r="A48" s="3684" t="s">
        <v>1338</v>
      </c>
      <c r="B48" s="3685"/>
      <c r="C48" s="368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2" t="s">
        <v>1340</v>
      </c>
      <c r="L48" s="3622"/>
      <c r="M48" s="3625" t="e">
        <f ca="1">H101</f>
        <v>#REF!</v>
      </c>
      <c r="N48" s="3625"/>
      <c r="O48" s="3625"/>
    </row>
    <row r="49" spans="1:35" ht="25.5" customHeight="1">
      <c r="A49" s="2332" t="s">
        <v>1341</v>
      </c>
      <c r="B49" s="3670" t="s">
        <v>1342</v>
      </c>
      <c r="C49" s="3670"/>
      <c r="D49" s="1589">
        <v>0</v>
      </c>
      <c r="E49" s="324" t="s">
        <v>1343</v>
      </c>
      <c r="F49" s="2423" t="s">
        <v>28</v>
      </c>
      <c r="G49" s="3653"/>
      <c r="H49" s="2309" t="s">
        <v>2134</v>
      </c>
      <c r="I49" s="2310"/>
      <c r="J49" s="2522">
        <v>4</v>
      </c>
      <c r="K49" s="3622" t="str">
        <f>IF(项目基本情况!E8="房地产抵押价值","房地产抵押价值","抵押担保权已注销时的房地产抵押价值")</f>
        <v>抵押担保权已注销时的房地产抵押价值</v>
      </c>
      <c r="L49" s="3622"/>
      <c r="M49" s="3625" t="str">
        <f>IF(项目基本情况!E8="房地产抵押价值",H107,H109)</f>
        <v>——</v>
      </c>
      <c r="N49" s="3625"/>
      <c r="O49" s="3625"/>
    </row>
    <row r="50" spans="1:35" ht="25.5" customHeight="1">
      <c r="A50" s="2550"/>
      <c r="B50" s="3670" t="s">
        <v>1344</v>
      </c>
      <c r="C50" s="3670"/>
      <c r="D50" s="2551"/>
      <c r="E50" s="332"/>
      <c r="F50" s="2423"/>
      <c r="G50" s="3654"/>
      <c r="H50" s="2311" t="s">
        <v>2135</v>
      </c>
      <c r="I50" s="2310"/>
      <c r="J50" s="3621" t="s">
        <v>1345</v>
      </c>
      <c r="K50" s="3621"/>
      <c r="L50" s="3621"/>
      <c r="M50" s="3621"/>
      <c r="N50" s="3621"/>
      <c r="O50" s="3621"/>
    </row>
    <row r="51" spans="1:35" ht="20.45" customHeight="1">
      <c r="A51" s="2552"/>
      <c r="B51" s="3670" t="s">
        <v>1346</v>
      </c>
      <c r="C51" s="3670"/>
      <c r="D51" s="1087"/>
      <c r="E51" s="327"/>
      <c r="F51" s="2423"/>
      <c r="G51" s="3655"/>
      <c r="H51" s="2311" t="s">
        <v>2136</v>
      </c>
      <c r="I51" s="2310"/>
      <c r="J51" s="2523" t="s">
        <v>1347</v>
      </c>
      <c r="K51" s="3622" t="s">
        <v>1348</v>
      </c>
      <c r="L51" s="3622"/>
      <c r="M51" s="2523" t="s">
        <v>1349</v>
      </c>
      <c r="N51" s="2523" t="s">
        <v>1350</v>
      </c>
      <c r="O51" s="2523" t="s">
        <v>1351</v>
      </c>
    </row>
    <row r="52" spans="1:35" ht="24" customHeight="1">
      <c r="A52" s="2334" t="s">
        <v>1352</v>
      </c>
      <c r="B52" s="3670" t="s">
        <v>1353</v>
      </c>
      <c r="C52" s="3670"/>
      <c r="D52" s="1087" t="e">
        <f ca="1">ROUND(D45*'数据-取费表'!B41/(1+'数据-取费表'!C42),0)</f>
        <v>#REF!</v>
      </c>
      <c r="E52" s="2333" t="s">
        <v>1354</v>
      </c>
      <c r="F52" s="2553">
        <f>'数据-取费表'!B41</f>
        <v>5.6000000000000001E-2</v>
      </c>
      <c r="G52" s="2554"/>
      <c r="H52" s="2543"/>
      <c r="I52" s="1806"/>
      <c r="J52" s="2522">
        <v>1</v>
      </c>
      <c r="K52" s="3647" t="s">
        <v>1355</v>
      </c>
      <c r="L52" s="3647"/>
      <c r="M52" s="2524" t="b">
        <f>D48</f>
        <v>0</v>
      </c>
      <c r="N52" s="2522" t="str">
        <f>E48</f>
        <v>销售额×税（费）率</v>
      </c>
      <c r="O52" s="2525">
        <f>F48</f>
        <v>5.6000000000000001E-2</v>
      </c>
    </row>
    <row r="53" spans="1:35" ht="12" customHeight="1">
      <c r="A53" s="2334" t="s">
        <v>1356</v>
      </c>
      <c r="B53" s="3671" t="s">
        <v>2291</v>
      </c>
      <c r="C53" s="3672"/>
      <c r="D53" s="1087" t="e">
        <f ca="1">ROUND(D45*'数据-取费表'!B41/(1+'数据-取费表'!C42),0)</f>
        <v>#REF!</v>
      </c>
      <c r="E53" s="2333" t="s">
        <v>1354</v>
      </c>
      <c r="F53" s="2553">
        <f>'数据-取费表'!B41</f>
        <v>5.6000000000000001E-2</v>
      </c>
      <c r="G53" s="2554"/>
      <c r="H53" s="2543"/>
      <c r="I53" s="1806"/>
      <c r="J53" s="2522">
        <v>2</v>
      </c>
      <c r="K53" s="3647" t="s">
        <v>1357</v>
      </c>
      <c r="L53" s="3647"/>
      <c r="M53" s="2524" t="e">
        <f t="shared" ref="M53:O54" ca="1" si="0">D55</f>
        <v>#REF!</v>
      </c>
      <c r="N53" s="2522" t="str">
        <f t="shared" si="0"/>
        <v>销售额×税（费）率</v>
      </c>
      <c r="O53" s="2525" t="str">
        <f t="shared" si="0"/>
        <v>免征</v>
      </c>
    </row>
    <row r="54" spans="1:35" ht="12" customHeight="1">
      <c r="A54" s="2334" t="s">
        <v>1358</v>
      </c>
      <c r="B54" s="3671" t="s">
        <v>2292</v>
      </c>
      <c r="C54" s="3672"/>
      <c r="D54" s="1087" t="e">
        <f ca="1">C68</f>
        <v>#REF!</v>
      </c>
      <c r="E54" s="327" t="s">
        <v>1359</v>
      </c>
      <c r="F54" s="2553">
        <f>'数据-取费表'!B41</f>
        <v>5.6000000000000001E-2</v>
      </c>
      <c r="G54" s="2554"/>
      <c r="H54" s="2555"/>
      <c r="I54" s="1806"/>
      <c r="J54" s="2522">
        <v>3</v>
      </c>
      <c r="K54" s="3647" t="s">
        <v>1360</v>
      </c>
      <c r="L54" s="3647"/>
      <c r="M54" s="2524" t="e">
        <f t="shared" ca="1" si="0"/>
        <v>#REF!</v>
      </c>
      <c r="N54" s="2522" t="str">
        <f t="shared" si="0"/>
        <v>增值额×税（费）率</v>
      </c>
      <c r="O54" s="2526" t="str">
        <f t="shared" si="0"/>
        <v>免征</v>
      </c>
    </row>
    <row r="55" spans="1:35" ht="24" customHeight="1">
      <c r="A55" s="3707" t="s">
        <v>1361</v>
      </c>
      <c r="B55" s="3685"/>
      <c r="C55" s="3685"/>
      <c r="D55" s="2323" t="e">
        <f ca="1">IF(H55="个人住宅",0,ROUND(D45*I55,0))</f>
        <v>#REF!</v>
      </c>
      <c r="E55" s="2333" t="s">
        <v>1362</v>
      </c>
      <c r="F55" s="2553" t="str">
        <f>IF(H55="正常",I55,"免征")</f>
        <v>免征</v>
      </c>
      <c r="G55" s="2554"/>
      <c r="H55" s="2549"/>
      <c r="I55" s="165">
        <f>'数据-取费表'!B49</f>
        <v>5.0000000000000001E-4</v>
      </c>
      <c r="J55" s="2522">
        <f>IF(H59="非个人房产","",4)</f>
        <v>4</v>
      </c>
      <c r="K55" s="3647" t="str">
        <f>IF(H59="非个人房产","——","个人所得税")</f>
        <v>个人所得税</v>
      </c>
      <c r="L55" s="3647"/>
      <c r="M55" s="2527" t="e">
        <f ca="1">D59</f>
        <v>#REF!</v>
      </c>
      <c r="N55" s="2039" t="str">
        <f>E59</f>
        <v>差额计税</v>
      </c>
      <c r="O55" s="2528">
        <f>F59</f>
        <v>0.01</v>
      </c>
    </row>
    <row r="56" spans="1:35" ht="24.75">
      <c r="A56" s="3707" t="s">
        <v>1363</v>
      </c>
      <c r="B56" s="3685"/>
      <c r="C56" s="3685"/>
      <c r="D56" s="2323" t="e">
        <f ca="1">IF(H56="个人住宅",D57,D58)</f>
        <v>#REF!</v>
      </c>
      <c r="E56" s="2333" t="s">
        <v>1364</v>
      </c>
      <c r="F56" s="2553" t="str">
        <f>IF(H56="正常",F58,"免征")</f>
        <v>免征</v>
      </c>
      <c r="G56" s="2556" t="s">
        <v>1365</v>
      </c>
      <c r="H56" s="2557"/>
      <c r="I56" s="1807"/>
      <c r="J56" s="2522" t="str">
        <f>IF(项目基本情况!K6="上海银行",IF(J55="",4,J55+1),"")</f>
        <v/>
      </c>
      <c r="K56" s="3628" t="str">
        <f>IF(项目基本情况!K6="上海银行","其他处置费用","")</f>
        <v/>
      </c>
      <c r="L56" s="3629"/>
      <c r="M56" s="2524" t="str">
        <f>IF(项目基本情况!K6="上海银行",M69,"")</f>
        <v/>
      </c>
      <c r="N56" s="3628" t="str">
        <f>IF(项目基本情况!K6="上海银行","包含处置中涉及的律师、诉讼、拍卖、评估等费用","")</f>
        <v/>
      </c>
      <c r="O56" s="3631"/>
    </row>
    <row r="57" spans="1:35" ht="12.75">
      <c r="A57" s="2334" t="s">
        <v>1341</v>
      </c>
      <c r="B57" s="3671" t="s">
        <v>1366</v>
      </c>
      <c r="C57" s="3672"/>
      <c r="D57" s="1589">
        <v>0</v>
      </c>
      <c r="E57" s="324" t="s">
        <v>1343</v>
      </c>
      <c r="F57" s="302"/>
      <c r="G57" s="2554"/>
      <c r="H57" s="2558"/>
      <c r="I57" s="1807"/>
      <c r="J57" s="3647">
        <f>IF(AND(J55="",J56=""),4,IF(项目基本情况!K6="上海银行",结果表!J56+1,结果表!J55+1))</f>
        <v>5</v>
      </c>
      <c r="K57" s="3647" t="s">
        <v>1367</v>
      </c>
      <c r="L57" s="2529" t="s">
        <v>1368</v>
      </c>
      <c r="M57" s="2530"/>
      <c r="N57" s="2531">
        <f ca="1">SUMIF(M52:M56,"&lt;9e307")</f>
        <v>0</v>
      </c>
      <c r="O57" s="2532"/>
      <c r="P57" s="2689" t="e">
        <f ca="1">N57/M49</f>
        <v>#VALUE!</v>
      </c>
    </row>
    <row r="58" spans="1:35" ht="24.75">
      <c r="A58" s="2334" t="s">
        <v>1352</v>
      </c>
      <c r="B58" s="3671" t="s">
        <v>1369</v>
      </c>
      <c r="C58" s="3670"/>
      <c r="D58" s="2323" t="e">
        <f ca="1">IF(H58="转让取得",C81,C97)</f>
        <v>#REF!</v>
      </c>
      <c r="E58" s="2333" t="s">
        <v>1364</v>
      </c>
      <c r="F58" s="302" t="s">
        <v>28</v>
      </c>
      <c r="G58" s="2554"/>
      <c r="H58" s="2557"/>
      <c r="I58" s="1807"/>
      <c r="J58" s="3647"/>
      <c r="K58" s="3647"/>
      <c r="L58" s="2529" t="s">
        <v>1370</v>
      </c>
      <c r="M58" s="2533"/>
      <c r="N58" s="2534" t="str">
        <f ca="1">NUMBERSTRING(INT(N57*10000),2)&amp;"元整"</f>
        <v>零元整</v>
      </c>
      <c r="O58" s="2535"/>
    </row>
    <row r="59" spans="1:35" ht="24.75" thickBot="1">
      <c r="A59" s="3651" t="s">
        <v>1371</v>
      </c>
      <c r="B59" s="3652"/>
      <c r="C59" s="365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49">
        <f>J57+1</f>
        <v>6</v>
      </c>
      <c r="K59" s="3647" t="s">
        <v>1372</v>
      </c>
      <c r="L59" s="2522" t="s">
        <v>1368</v>
      </c>
      <c r="M59" s="2536"/>
      <c r="N59" s="2537" t="e">
        <f ca="1">M49-N57</f>
        <v>#VALUE!</v>
      </c>
      <c r="O59" s="2538"/>
    </row>
    <row r="60" spans="1:35" ht="12" customHeight="1">
      <c r="A60" s="1808"/>
      <c r="B60" s="1746"/>
      <c r="C60" s="1746"/>
      <c r="D60" s="1746"/>
      <c r="E60" s="1577"/>
      <c r="F60" s="1807"/>
      <c r="G60" s="1807"/>
      <c r="H60" s="1809"/>
      <c r="I60" s="129"/>
      <c r="J60" s="3650"/>
      <c r="K60" s="3647"/>
      <c r="L60" s="2529" t="s">
        <v>1370</v>
      </c>
      <c r="M60" s="2533"/>
      <c r="N60" s="2534" t="e">
        <f ca="1">NUMBERSTRING(INT(N59*10000),2)&amp;"元整"</f>
        <v>#VALUE!</v>
      </c>
      <c r="O60" s="2535"/>
    </row>
    <row r="61" spans="1:35" ht="13.5" thickBot="1">
      <c r="A61" s="3706" t="s">
        <v>1373</v>
      </c>
      <c r="B61" s="3706"/>
      <c r="C61" s="3706"/>
      <c r="D61" s="3706"/>
      <c r="E61" s="3706"/>
      <c r="F61" s="1807"/>
      <c r="G61" s="1807"/>
      <c r="H61" s="1809"/>
      <c r="I61" s="129"/>
      <c r="J61" s="2522">
        <f>J59+1</f>
        <v>7</v>
      </c>
      <c r="K61" s="3647" t="s">
        <v>1374</v>
      </c>
      <c r="L61" s="3647"/>
      <c r="M61" s="2539"/>
      <c r="N61" s="2540" t="e">
        <f ca="1">ROUND(N59*10000/'数据-汇总表'!E3,0)</f>
        <v>#VALUE!</v>
      </c>
      <c r="O61" s="2541"/>
    </row>
    <row r="62" spans="1:35" ht="12.75">
      <c r="A62" s="3666" t="s">
        <v>1375</v>
      </c>
      <c r="B62" s="3667"/>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3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0"/>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74" t="s">
        <v>1394</v>
      </c>
      <c r="B70" s="3675"/>
      <c r="C70" s="3675"/>
      <c r="D70" s="3675"/>
      <c r="E70" s="3675"/>
      <c r="F70" s="3675"/>
      <c r="G70" s="3675"/>
      <c r="H70" s="367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6" t="s">
        <v>1375</v>
      </c>
      <c r="B71" s="366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71" t="s">
        <v>1402</v>
      </c>
      <c r="F76" s="3670"/>
      <c r="G76" s="3670"/>
      <c r="H76" s="367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63" t="s">
        <v>1406</v>
      </c>
      <c r="F78" s="3664"/>
      <c r="G78" s="3664"/>
      <c r="H78" s="366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4" t="s">
        <v>1410</v>
      </c>
      <c r="B83" s="3675"/>
      <c r="C83" s="3675"/>
      <c r="D83" s="3675"/>
      <c r="E83" s="3675"/>
      <c r="F83" s="3675"/>
      <c r="G83" s="3675"/>
      <c r="H83" s="367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66" t="s">
        <v>1375</v>
      </c>
      <c r="B84" s="366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2" t="s">
        <v>2129</v>
      </c>
      <c r="H90" s="363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63" t="s">
        <v>1419</v>
      </c>
      <c r="F91" s="3664"/>
      <c r="G91" s="36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63" t="s">
        <v>1422</v>
      </c>
      <c r="F92" s="3664"/>
      <c r="G92" s="3664"/>
      <c r="H92" s="366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63" t="s">
        <v>1406</v>
      </c>
      <c r="F93" s="3664"/>
      <c r="G93" s="3664"/>
      <c r="H93" s="366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08" t="s">
        <v>1426</v>
      </c>
      <c r="F94" s="3709"/>
      <c r="G94" s="3709"/>
      <c r="H94" s="371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3" t="s">
        <v>1428</v>
      </c>
      <c r="B100" s="3614"/>
      <c r="C100" s="3614"/>
      <c r="D100" s="3648"/>
      <c r="E100" s="3614" t="s">
        <v>1429</v>
      </c>
      <c r="F100" s="3614"/>
      <c r="G100" s="3614"/>
      <c r="H100" s="3648"/>
      <c r="I100" s="129"/>
    </row>
    <row r="101" spans="1:35" ht="18.75" customHeight="1">
      <c r="A101" s="3656" t="s">
        <v>1430</v>
      </c>
      <c r="B101" s="3657"/>
      <c r="C101" s="2584" t="str">
        <f>C4</f>
        <v>比较法-住宅</v>
      </c>
      <c r="D101" s="2585" t="str">
        <f>D4</f>
        <v>收益法</v>
      </c>
      <c r="E101" s="3626" t="s">
        <v>1431</v>
      </c>
      <c r="F101" s="3627"/>
      <c r="G101" s="1826" t="s">
        <v>1432</v>
      </c>
      <c r="H101" s="2594" t="e">
        <f ca="1">H118</f>
        <v>#REF!</v>
      </c>
      <c r="I101" s="129"/>
    </row>
    <row r="102" spans="1:35" ht="18.75" customHeight="1">
      <c r="A102" s="3658" t="s">
        <v>1433</v>
      </c>
      <c r="B102" s="2583" t="s">
        <v>1432</v>
      </c>
      <c r="C102" s="2584">
        <f ca="1">IF(D32="楼面单价",ROUND(C19,0),C19)</f>
        <v>2525</v>
      </c>
      <c r="D102" s="2585">
        <f ca="1">IF(D32="楼面单价",ROUND(D19,0),D19)</f>
        <v>1127</v>
      </c>
      <c r="E102" s="3626"/>
      <c r="F102" s="3627"/>
      <c r="G102" s="1826" t="s">
        <v>1434</v>
      </c>
      <c r="H102" s="2554" t="e">
        <f ca="1">I118</f>
        <v>#REF!</v>
      </c>
      <c r="I102" s="129"/>
    </row>
    <row r="103" spans="1:35" ht="42.75" customHeight="1">
      <c r="A103" s="3658"/>
      <c r="B103" s="2583" t="s">
        <v>1434</v>
      </c>
      <c r="C103" s="2586">
        <f ca="1">C20</f>
        <v>140014</v>
      </c>
      <c r="D103" s="2587">
        <f ca="1">D20</f>
        <v>62497</v>
      </c>
      <c r="E103" s="3619" t="s">
        <v>1435</v>
      </c>
      <c r="F103" s="3620"/>
      <c r="G103" s="1827" t="s">
        <v>1436</v>
      </c>
      <c r="H103" s="2594">
        <f>IF(D36="正常操作",H104+H105+H106,H105+H106)</f>
        <v>0</v>
      </c>
      <c r="I103" s="129"/>
    </row>
    <row r="104" spans="1:35" ht="18.75" customHeight="1">
      <c r="A104" s="3658"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68"/>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59" t="str">
        <f>IF(项目基本情况!E8="已注销","——","3.房地产抵押价值")</f>
        <v>3.房地产抵押价值</v>
      </c>
      <c r="F107" s="3627"/>
      <c r="G107" s="1826" t="s">
        <v>1432</v>
      </c>
      <c r="H107" s="2594" t="e">
        <f ca="1">IF(E107="——","——",H101-H103)</f>
        <v>#REF!</v>
      </c>
      <c r="I107" s="129"/>
    </row>
    <row r="108" spans="1:35" ht="18.75" customHeight="1">
      <c r="A108" s="129"/>
      <c r="B108" s="129"/>
      <c r="C108" s="129"/>
      <c r="D108" s="129"/>
      <c r="E108" s="3659"/>
      <c r="F108" s="3627"/>
      <c r="G108" s="1826" t="s">
        <v>1434</v>
      </c>
      <c r="H108" s="2554">
        <f ca="1">IF(H107=H101,H102,ROUND(H107*10000/'数据-汇总表'!E3,0))</f>
        <v>0</v>
      </c>
      <c r="I108" s="129"/>
    </row>
    <row r="109" spans="1:35" ht="18.75" customHeight="1">
      <c r="A109" s="129"/>
      <c r="B109" s="129"/>
      <c r="C109" s="129"/>
      <c r="D109" s="129"/>
      <c r="E109" s="3659" t="str">
        <f>IF(项目基本情况!E8="已注销及未注销","4.抵押担保权已注销时的房地产抵押价值",IF(项目基本情况!E8="已注销","3.抵押担保权已注销时的房地产抵押价值","——"))</f>
        <v>——</v>
      </c>
      <c r="F109" s="3627"/>
      <c r="G109" s="1826" t="s">
        <v>1432</v>
      </c>
      <c r="H109" s="2597" t="str">
        <f>IF(E109="——","——",H101-H105-H106)</f>
        <v>——</v>
      </c>
      <c r="I109" s="129"/>
    </row>
    <row r="110" spans="1:35" ht="18.75" customHeight="1">
      <c r="A110" s="129"/>
      <c r="B110" s="129"/>
      <c r="C110" s="129"/>
      <c r="D110" s="129"/>
      <c r="E110" s="3659"/>
      <c r="F110" s="3627"/>
      <c r="G110" s="1826" t="s">
        <v>1434</v>
      </c>
      <c r="H110" s="2554"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46"/>
      <c r="G111" s="1826" t="s">
        <v>1432</v>
      </c>
      <c r="H111" s="2594" t="str">
        <f>IF(E111="——","——",N59)</f>
        <v>——</v>
      </c>
      <c r="I111" s="129"/>
    </row>
    <row r="112" spans="1:35" ht="18.75" customHeight="1" thickBot="1">
      <c r="A112" s="129"/>
      <c r="B112" s="129"/>
      <c r="C112" s="129"/>
      <c r="D112" s="129"/>
      <c r="E112" s="3661"/>
      <c r="F112" s="3662"/>
      <c r="G112" s="1829" t="s">
        <v>1434</v>
      </c>
      <c r="H112" s="2598" t="str">
        <f>IF(E111="——","——",N61)</f>
        <v>——</v>
      </c>
      <c r="I112" s="129"/>
    </row>
    <row r="113" spans="1:27" ht="18.75" customHeight="1">
      <c r="A113" s="129"/>
      <c r="B113" s="129"/>
      <c r="C113" s="129"/>
      <c r="D113" s="129"/>
      <c r="E113" s="3669" t="s">
        <v>1440</v>
      </c>
      <c r="F113" s="3669"/>
      <c r="G113" s="3669"/>
      <c r="H113" s="3669"/>
      <c r="I113" s="129"/>
    </row>
    <row r="114" spans="1:27" ht="3.75" customHeight="1">
      <c r="A114" s="1746"/>
      <c r="B114" s="1746"/>
      <c r="C114" s="1746"/>
      <c r="D114" s="1746"/>
      <c r="E114" s="1808"/>
      <c r="F114" s="1808"/>
      <c r="G114" s="1808"/>
      <c r="H114" s="1808"/>
      <c r="I114" s="1746"/>
    </row>
    <row r="115" spans="1:27" ht="18.75" customHeight="1">
      <c r="A115" s="3677" t="s">
        <v>1442</v>
      </c>
      <c r="B115" s="3678"/>
      <c r="C115" s="3678"/>
      <c r="D115" s="3678"/>
      <c r="E115" s="3678"/>
      <c r="F115" s="3678"/>
      <c r="G115" s="3678"/>
      <c r="H115" s="3678"/>
      <c r="I115" s="3679"/>
    </row>
    <row r="116" spans="1:27" ht="27" customHeight="1">
      <c r="A116" s="3634" t="s">
        <v>1443</v>
      </c>
      <c r="B116" s="3638" t="s">
        <v>1444</v>
      </c>
      <c r="C116" s="3638" t="s">
        <v>1445</v>
      </c>
      <c r="D116" s="3644" t="s">
        <v>1446</v>
      </c>
      <c r="E116" s="3645"/>
      <c r="F116" s="3676" t="s">
        <v>1447</v>
      </c>
      <c r="G116" s="3676"/>
      <c r="H116" s="3634" t="s">
        <v>1448</v>
      </c>
      <c r="I116" s="3634"/>
    </row>
    <row r="117" spans="1:27" ht="18.75" customHeight="1">
      <c r="A117" s="3634"/>
      <c r="B117" s="3639"/>
      <c r="C117" s="363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180.33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34" t="s">
        <v>1452</v>
      </c>
      <c r="B119" s="3634"/>
      <c r="C119" s="3634"/>
      <c r="D119" s="3640" t="e">
        <f ca="1">NUMBERSTRING(INT(D118*10000),2)&amp;"元整"</f>
        <v>#REF!</v>
      </c>
      <c r="E119" s="3641"/>
      <c r="F119" s="3640" t="e">
        <f ca="1">NUMBERSTRING(INT(F118*10000),2)&amp;"元整"</f>
        <v>#REF!</v>
      </c>
      <c r="G119" s="3641"/>
      <c r="H119" s="3640" t="e">
        <f ca="1">NUMBERSTRING(INT(H118*10000),2)&amp;"元整"</f>
        <v>#REF!</v>
      </c>
      <c r="I119" s="3641"/>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0" t="s">
        <v>1452</v>
      </c>
      <c r="B121" s="3642"/>
      <c r="C121" s="3641"/>
      <c r="D121" s="3640" t="str">
        <f>IF(D120=0,"零元整",NUMBERSTRING(INT(D120*10000),2)&amp;"元整")</f>
        <v>零元整</v>
      </c>
      <c r="E121" s="3642"/>
      <c r="F121" s="3642"/>
      <c r="G121" s="3642"/>
      <c r="H121" s="3642"/>
      <c r="I121" s="3641"/>
      <c r="AA121" s="725"/>
    </row>
    <row r="122" spans="1:27" ht="18.75" customHeight="1">
      <c r="A122" s="3646" t="str">
        <f>IF(项目基本情况!B9="房地产市场价值","",MID(E107,3,LEN(E107)-2))</f>
        <v>房地产抵押价值</v>
      </c>
      <c r="B122" s="3646"/>
      <c r="C122" s="3646"/>
      <c r="D122" s="3635" t="e">
        <f ca="1">H107</f>
        <v>#REF!</v>
      </c>
      <c r="E122" s="3636"/>
      <c r="F122" s="3636"/>
      <c r="G122" s="3636"/>
      <c r="H122" s="3636"/>
      <c r="I122" s="3637"/>
      <c r="AA122" s="725"/>
    </row>
    <row r="123" spans="1:27" ht="18.75" customHeight="1">
      <c r="A123" s="3634" t="s">
        <v>1452</v>
      </c>
      <c r="B123" s="3634"/>
      <c r="C123" s="3634"/>
      <c r="D123" s="3640" t="e">
        <f ca="1">NUMBERSTRING(INT(D122*10000),2)&amp;"元整"</f>
        <v>#REF!</v>
      </c>
      <c r="E123" s="3642"/>
      <c r="F123" s="3642"/>
      <c r="G123" s="3642"/>
      <c r="H123" s="3642"/>
      <c r="I123" s="3641"/>
      <c r="AA123" s="725"/>
    </row>
    <row r="124" spans="1:27" ht="18.75" customHeight="1">
      <c r="A124" s="3646" t="str">
        <f>IF(项目基本情况!B9="房地产市场价值","",MID(E109,3,LEN(E109)-2))</f>
        <v/>
      </c>
      <c r="B124" s="3646"/>
      <c r="C124" s="3646"/>
      <c r="D124" s="3635" t="str">
        <f>H109</f>
        <v>——</v>
      </c>
      <c r="E124" s="3636"/>
      <c r="F124" s="3636"/>
      <c r="G124" s="3636"/>
      <c r="H124" s="3636"/>
      <c r="I124" s="3637"/>
      <c r="AA124" s="725"/>
    </row>
    <row r="125" spans="1:27" ht="18.75" customHeight="1">
      <c r="A125" s="3634" t="s">
        <v>1452</v>
      </c>
      <c r="B125" s="3634"/>
      <c r="C125" s="3634"/>
      <c r="D125" s="3640" t="e">
        <f>NUMBERSTRING(INT(D124*10000),2)&amp;"元整"</f>
        <v>#VALUE!</v>
      </c>
      <c r="E125" s="3642"/>
      <c r="F125" s="3642"/>
      <c r="G125" s="3642"/>
      <c r="H125" s="3642"/>
      <c r="I125" s="3641"/>
      <c r="AA125" s="725"/>
    </row>
    <row r="126" spans="1:27" ht="18.75" customHeight="1">
      <c r="A126" s="3646" t="str">
        <f>IF(项目基本情况!B9="房地产市场价值","",MID(E111,3,LEN(E111)-2))</f>
        <v/>
      </c>
      <c r="B126" s="3646"/>
      <c r="C126" s="3646"/>
      <c r="D126" s="3635" t="str">
        <f>H111</f>
        <v>——</v>
      </c>
      <c r="E126" s="3636"/>
      <c r="F126" s="3636"/>
      <c r="G126" s="3636"/>
      <c r="H126" s="3636"/>
      <c r="I126" s="3637"/>
      <c r="AA126" s="725"/>
    </row>
    <row r="127" spans="1:27" ht="18.75" customHeight="1">
      <c r="A127" s="3634" t="s">
        <v>1452</v>
      </c>
      <c r="B127" s="3634"/>
      <c r="C127" s="3634"/>
      <c r="D127" s="3640" t="e">
        <f>NUMBERSTRING(INT(D126*10000),2)&amp;"元整"</f>
        <v>#VALUE!</v>
      </c>
      <c r="E127" s="3642"/>
      <c r="F127" s="3642"/>
      <c r="G127" s="3642"/>
      <c r="H127" s="3642"/>
      <c r="I127" s="3641"/>
      <c r="AA127" s="725"/>
    </row>
    <row r="128" spans="1:27" ht="21.75" customHeight="1">
      <c r="A128" s="3643" t="s">
        <v>1453</v>
      </c>
      <c r="B128" s="3643"/>
      <c r="C128" s="3643"/>
      <c r="D128" s="3643"/>
      <c r="E128" s="3643"/>
      <c r="F128" s="3643"/>
      <c r="G128" s="3643"/>
      <c r="H128" s="3643"/>
      <c r="I128" s="364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5545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180.33</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180.33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80" t="s">
        <v>353</v>
      </c>
      <c r="B37" s="215" t="s">
        <v>1531</v>
      </c>
      <c r="C37" s="249">
        <f ca="1">ROUND(E37*D37*F34/10000,0)</f>
        <v>4</v>
      </c>
      <c r="D37" s="217">
        <f ca="1">D19</f>
        <v>180.33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713" t="s">
        <v>1544</v>
      </c>
    </row>
    <row r="43" spans="1:7" ht="13.5" customHeight="1">
      <c r="A43" s="780" t="s">
        <v>347</v>
      </c>
      <c r="B43" s="215" t="s">
        <v>1545</v>
      </c>
      <c r="C43" s="238">
        <f ca="1">ROUND(IF('数据-取费表'!B22&lt;=1,C39*F22*'数据-取费表'!B21/2,C39*(POWER((1+F22),'数据-取费表'!B21/2)-1)),0)</f>
        <v>0</v>
      </c>
      <c r="D43" s="238"/>
      <c r="E43" s="238"/>
      <c r="F43" s="239"/>
      <c r="G43" s="3714"/>
    </row>
    <row r="44" spans="1:7" ht="13.5" customHeight="1">
      <c r="A44" s="780" t="s">
        <v>348</v>
      </c>
      <c r="B44" s="215" t="s">
        <v>1546</v>
      </c>
      <c r="C44" s="238">
        <f ca="1">ROUND(IF('数据-取费表'!B22&lt;=1,C40*F22*'数据-取费表'!B21/2,C40*(POWER((1+F22),'数据-取费表'!B21/2)-1)),4)</f>
        <v>1E-3</v>
      </c>
      <c r="D44" s="238"/>
      <c r="E44" s="238"/>
      <c r="F44" s="239"/>
      <c r="G44" s="3715"/>
    </row>
    <row r="45" spans="1:7" s="214" customFormat="1" ht="13.5" customHeight="1">
      <c r="A45" s="255" t="s">
        <v>1547</v>
      </c>
      <c r="B45" s="244" t="s">
        <v>1513</v>
      </c>
      <c r="C45" s="245">
        <f ca="1">C46</f>
        <v>21</v>
      </c>
      <c r="D45" s="235">
        <f ca="1">C47</f>
        <v>5.0000000000000001E-3</v>
      </c>
      <c r="E45" s="236" t="s">
        <v>1539</v>
      </c>
      <c r="F45" s="246">
        <f ca="1">F27</f>
        <v>0.25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workbookViewId="0">
      <selection activeCell="E7" sqref="E7"/>
    </sheetView>
  </sheetViews>
  <sheetFormatPr defaultRowHeight="13.5"/>
  <cols>
    <col min="1" max="1" width="3.75" style="3515" customWidth="1"/>
    <col min="2" max="2" width="40.75" style="3515" customWidth="1"/>
    <col min="3" max="3" width="9.125" style="3515" customWidth="1"/>
    <col min="4" max="4" width="9" style="3515" customWidth="1"/>
    <col min="5" max="5" width="10.625" style="3474" customWidth="1"/>
    <col min="6" max="6" width="10.875" style="3515" customWidth="1"/>
    <col min="7" max="7" width="12.5" style="3515" customWidth="1"/>
    <col min="8" max="8" width="9" style="3474"/>
    <col min="9" max="16384" width="9" style="3515"/>
  </cols>
  <sheetData>
    <row r="1" spans="1:9">
      <c r="A1" s="3514" t="s">
        <v>3524</v>
      </c>
      <c r="B1" s="3514" t="s">
        <v>3514</v>
      </c>
      <c r="C1" s="3514" t="s">
        <v>3522</v>
      </c>
      <c r="D1" s="3514" t="s">
        <v>3515</v>
      </c>
      <c r="E1" s="3516" t="s">
        <v>3520</v>
      </c>
      <c r="F1" s="3514" t="s">
        <v>3516</v>
      </c>
      <c r="G1" s="3514" t="s">
        <v>3517</v>
      </c>
      <c r="H1" s="3516" t="s">
        <v>3521</v>
      </c>
    </row>
    <row r="2" spans="1:9">
      <c r="A2" s="3514" t="s">
        <v>3535</v>
      </c>
      <c r="B2" s="3514" t="s">
        <v>3525</v>
      </c>
      <c r="C2" s="3514" t="s">
        <v>3523</v>
      </c>
      <c r="D2" s="3515">
        <v>12520000</v>
      </c>
      <c r="E2" s="3516">
        <f>D2/C2</f>
        <v>109978.91777933942</v>
      </c>
      <c r="F2" s="3522" t="s">
        <v>3518</v>
      </c>
      <c r="G2" s="3514" t="s">
        <v>3519</v>
      </c>
      <c r="H2" s="3519">
        <f t="shared" ref="H2:H8" si="0">G2/C2</f>
        <v>114150.73489107519</v>
      </c>
      <c r="I2" s="3514" t="s">
        <v>3530</v>
      </c>
    </row>
    <row r="3" spans="1:9" s="3517" customFormat="1">
      <c r="A3" s="3517" t="s">
        <v>3536</v>
      </c>
      <c r="B3" s="3517" t="s">
        <v>3526</v>
      </c>
      <c r="C3" s="3517" t="s">
        <v>3549</v>
      </c>
      <c r="E3" s="3518"/>
      <c r="F3" s="3517" t="s">
        <v>3534</v>
      </c>
      <c r="G3" s="3517" t="s">
        <v>3527</v>
      </c>
      <c r="H3" s="3518">
        <f t="shared" si="0"/>
        <v>130097.32209273495</v>
      </c>
      <c r="I3" s="3517" t="s">
        <v>3531</v>
      </c>
    </row>
    <row r="4" spans="1:9" s="3517" customFormat="1">
      <c r="A4" s="3517" t="s">
        <v>3537</v>
      </c>
      <c r="B4" s="3517" t="s">
        <v>3528</v>
      </c>
      <c r="C4" s="3517" t="s">
        <v>3523</v>
      </c>
      <c r="E4" s="3518"/>
      <c r="F4" s="3517" t="s">
        <v>3533</v>
      </c>
      <c r="G4" s="3517" t="s">
        <v>3529</v>
      </c>
      <c r="H4" s="3518">
        <f t="shared" si="0"/>
        <v>121798.06157765284</v>
      </c>
      <c r="I4" s="3517" t="s">
        <v>3531</v>
      </c>
    </row>
    <row r="5" spans="1:9" s="3517" customFormat="1">
      <c r="A5" s="3517" t="s">
        <v>3538</v>
      </c>
      <c r="B5" s="3517" t="s">
        <v>3532</v>
      </c>
      <c r="C5" s="3517" t="s">
        <v>3550</v>
      </c>
      <c r="E5" s="3518"/>
      <c r="F5" s="3517" t="s">
        <v>3551</v>
      </c>
      <c r="G5" s="3517" t="s">
        <v>3552</v>
      </c>
      <c r="H5" s="3518">
        <f t="shared" si="0"/>
        <v>98093.034583536282</v>
      </c>
      <c r="I5" s="3517" t="s">
        <v>3531</v>
      </c>
    </row>
    <row r="6" spans="1:9" s="3517" customFormat="1">
      <c r="A6" s="3517" t="s">
        <v>3539</v>
      </c>
      <c r="B6" s="3517" t="s">
        <v>3540</v>
      </c>
      <c r="C6" s="3517" t="s">
        <v>3553</v>
      </c>
      <c r="D6" s="3517" t="s">
        <v>3554</v>
      </c>
      <c r="E6" s="3518">
        <f t="shared" ref="E6:E8" si="1">D6/C6</f>
        <v>110607.06434555285</v>
      </c>
      <c r="F6" s="3521" t="s">
        <v>3555</v>
      </c>
      <c r="G6" s="3517" t="s">
        <v>3556</v>
      </c>
      <c r="H6" s="3520">
        <f t="shared" si="0"/>
        <v>117054.83928465331</v>
      </c>
      <c r="I6" s="3517" t="s">
        <v>3530</v>
      </c>
    </row>
    <row r="7" spans="1:9" s="3517" customFormat="1">
      <c r="A7" s="3517" t="s">
        <v>3547</v>
      </c>
      <c r="B7" s="3517" t="s">
        <v>3541</v>
      </c>
      <c r="C7" s="3517" t="s">
        <v>3557</v>
      </c>
      <c r="D7" s="3517" t="s">
        <v>3558</v>
      </c>
      <c r="E7" s="3518">
        <f t="shared" si="1"/>
        <v>112777.5430690513</v>
      </c>
      <c r="F7" s="3521" t="s">
        <v>3559</v>
      </c>
      <c r="G7" s="3517" t="s">
        <v>3560</v>
      </c>
      <c r="H7" s="3520">
        <f t="shared" si="0"/>
        <v>114891.32826362485</v>
      </c>
      <c r="I7" s="3517" t="s">
        <v>3530</v>
      </c>
    </row>
    <row r="8" spans="1:9">
      <c r="A8" s="3514" t="s">
        <v>3548</v>
      </c>
      <c r="B8" s="3514" t="s">
        <v>3542</v>
      </c>
      <c r="C8" s="3514" t="s">
        <v>3545</v>
      </c>
      <c r="D8" s="3514" t="s">
        <v>3543</v>
      </c>
      <c r="E8" s="3516">
        <f t="shared" si="1"/>
        <v>78661.527483883663</v>
      </c>
      <c r="F8" s="3514" t="s">
        <v>3544</v>
      </c>
      <c r="G8" s="3514" t="s">
        <v>3546</v>
      </c>
      <c r="H8" s="3474">
        <f t="shared" si="0"/>
        <v>99000</v>
      </c>
      <c r="I8" s="3514" t="s">
        <v>3530</v>
      </c>
    </row>
    <row r="9" spans="1:9" ht="14.25" customHeight="1">
      <c r="H9" s="3516"/>
    </row>
    <row r="10" spans="1:9">
      <c r="H10" s="3516"/>
    </row>
    <row r="32" spans="8:8">
      <c r="H32" s="3516"/>
    </row>
    <row r="33" spans="8:8">
      <c r="H33" s="3516"/>
    </row>
    <row r="57" spans="8:8">
      <c r="H57" s="3516"/>
    </row>
    <row r="58" spans="8:8">
      <c r="H58" s="3516"/>
    </row>
    <row r="81" spans="8:8">
      <c r="H81" s="3516"/>
    </row>
    <row r="82" spans="8:8">
      <c r="H82" s="3516"/>
    </row>
    <row r="105" spans="8:8">
      <c r="H105" s="3516"/>
    </row>
    <row r="106" spans="8:8">
      <c r="H106" s="3516"/>
    </row>
    <row r="134" spans="8:8">
      <c r="H134" s="3516"/>
    </row>
    <row r="135" spans="8:8">
      <c r="H135" s="3516"/>
    </row>
    <row r="157" spans="8:8">
      <c r="H157" s="3516"/>
    </row>
    <row r="158" spans="8:8">
      <c r="H158" s="3516"/>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0" t="str">
        <f>项目基本情况!B1</f>
        <v>北京市预评估</v>
      </c>
      <c r="C37" s="3530"/>
      <c r="D37" s="3530"/>
      <c r="E37" s="3530"/>
      <c r="F37" s="3530"/>
      <c r="G37" s="3530"/>
      <c r="H37" s="3530"/>
      <c r="I37" s="353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7" sqref="N16:N1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workbookViewId="0">
      <selection activeCell="L15" sqref="L15"/>
    </sheetView>
  </sheetViews>
  <sheetFormatPr defaultRowHeight="13.5"/>
  <cols>
    <col min="1" max="1" width="8.875" customWidth="1"/>
    <col min="12" max="12" width="9.375" bestFit="1" customWidth="1"/>
    <col min="14" max="14" width="11" bestFit="1" customWidth="1"/>
  </cols>
  <sheetData>
    <row r="2" spans="1:15">
      <c r="A2" s="3450" t="s">
        <v>3390</v>
      </c>
      <c r="B2" s="3450" t="s">
        <v>3392</v>
      </c>
      <c r="C2" s="3450" t="s">
        <v>3562</v>
      </c>
      <c r="D2" s="3450" t="s">
        <v>3394</v>
      </c>
      <c r="E2" s="3450" t="s">
        <v>3395</v>
      </c>
      <c r="F2" s="3450" t="s">
        <v>3396</v>
      </c>
      <c r="G2" s="3450" t="s">
        <v>3397</v>
      </c>
      <c r="H2" s="3450" t="s">
        <v>3398</v>
      </c>
      <c r="I2" s="3450" t="s">
        <v>3399</v>
      </c>
      <c r="J2" s="3450" t="s">
        <v>3400</v>
      </c>
      <c r="K2" s="3450" t="s">
        <v>3401</v>
      </c>
      <c r="L2" s="3450" t="s">
        <v>3402</v>
      </c>
      <c r="M2" s="3450" t="s">
        <v>3504</v>
      </c>
      <c r="N2" s="3450" t="s">
        <v>3405</v>
      </c>
    </row>
    <row r="3" spans="1:15">
      <c r="A3" s="3456">
        <v>1</v>
      </c>
      <c r="B3" s="3456" t="s">
        <v>3561</v>
      </c>
      <c r="C3" s="3456" t="s">
        <v>3563</v>
      </c>
      <c r="D3" s="3456">
        <v>162.47</v>
      </c>
      <c r="E3" s="3456" t="s">
        <v>2555</v>
      </c>
      <c r="F3" s="3456">
        <v>15</v>
      </c>
      <c r="G3" s="3456">
        <v>11</v>
      </c>
      <c r="H3" s="3456" t="s">
        <v>3408</v>
      </c>
      <c r="I3" s="3456" t="s">
        <v>3498</v>
      </c>
      <c r="J3" s="3456" t="s">
        <v>3497</v>
      </c>
      <c r="K3" s="3456">
        <v>2004</v>
      </c>
      <c r="L3" s="3456">
        <f>ROUND(M3/D3,0)</f>
        <v>119407</v>
      </c>
      <c r="M3" s="3456">
        <v>19400000</v>
      </c>
      <c r="N3" s="3457">
        <v>45261</v>
      </c>
    </row>
    <row r="4" spans="1:15">
      <c r="A4" s="3497">
        <v>2</v>
      </c>
      <c r="B4" s="3497" t="s">
        <v>3576</v>
      </c>
      <c r="C4" s="3497" t="s">
        <v>3577</v>
      </c>
      <c r="D4" s="3497">
        <v>179.6</v>
      </c>
      <c r="E4" s="3497" t="s">
        <v>3578</v>
      </c>
      <c r="F4" s="3497">
        <v>15</v>
      </c>
      <c r="G4" s="3497">
        <v>8</v>
      </c>
      <c r="H4" s="3497" t="s">
        <v>3579</v>
      </c>
      <c r="I4" s="3497" t="s">
        <v>3580</v>
      </c>
      <c r="J4" s="3497" t="s">
        <v>3581</v>
      </c>
      <c r="K4" s="3497">
        <v>2004</v>
      </c>
      <c r="L4" s="3497">
        <f t="shared" ref="L4:L30" si="0">ROUND(M4/D4,0)</f>
        <v>123051</v>
      </c>
      <c r="M4" s="3497">
        <v>22100000</v>
      </c>
      <c r="N4" s="3498">
        <v>45231</v>
      </c>
    </row>
    <row r="5" spans="1:15">
      <c r="A5" s="3497">
        <v>3</v>
      </c>
      <c r="B5" s="3497" t="s">
        <v>3564</v>
      </c>
      <c r="C5" s="3497" t="s">
        <v>3577</v>
      </c>
      <c r="D5" s="3497">
        <v>169.18</v>
      </c>
      <c r="E5" s="3497" t="s">
        <v>3578</v>
      </c>
      <c r="F5" s="3497">
        <v>15</v>
      </c>
      <c r="G5" s="3497">
        <v>15</v>
      </c>
      <c r="H5" s="3497" t="s">
        <v>3583</v>
      </c>
      <c r="I5" s="3497" t="s">
        <v>3580</v>
      </c>
      <c r="J5" s="3497" t="s">
        <v>3581</v>
      </c>
      <c r="K5" s="3497">
        <v>2004</v>
      </c>
      <c r="L5" s="3497">
        <f>ROUND(M5/D5,0)</f>
        <v>121468</v>
      </c>
      <c r="M5" s="3497">
        <v>20550000</v>
      </c>
      <c r="N5" s="3498">
        <v>45231</v>
      </c>
    </row>
    <row r="6" spans="1:15">
      <c r="A6" s="3456">
        <v>4</v>
      </c>
      <c r="B6" s="3456" t="s">
        <v>3584</v>
      </c>
      <c r="C6" s="3456" t="s">
        <v>3582</v>
      </c>
      <c r="D6" s="3456">
        <v>147.37</v>
      </c>
      <c r="E6" s="3456" t="s">
        <v>3585</v>
      </c>
      <c r="F6" s="3456">
        <v>15</v>
      </c>
      <c r="G6" s="3456">
        <v>15</v>
      </c>
      <c r="H6" s="3456" t="s">
        <v>3579</v>
      </c>
      <c r="I6" s="3456" t="s">
        <v>3580</v>
      </c>
      <c r="J6" s="3456" t="s">
        <v>3586</v>
      </c>
      <c r="K6" s="3456">
        <v>2004</v>
      </c>
      <c r="L6" s="3456">
        <f t="shared" si="0"/>
        <v>119563</v>
      </c>
      <c r="M6" s="3456">
        <v>17620000</v>
      </c>
      <c r="N6" s="3457">
        <v>45170</v>
      </c>
    </row>
    <row r="7" spans="1:15">
      <c r="A7" s="3456">
        <v>5</v>
      </c>
      <c r="B7" s="3456" t="s">
        <v>3587</v>
      </c>
      <c r="C7" s="3456" t="s">
        <v>3588</v>
      </c>
      <c r="D7" s="3456">
        <v>113.84</v>
      </c>
      <c r="E7" s="3456" t="s">
        <v>3585</v>
      </c>
      <c r="F7" s="3456">
        <v>15</v>
      </c>
      <c r="G7" s="3456">
        <v>15</v>
      </c>
      <c r="H7" s="3456" t="s">
        <v>3583</v>
      </c>
      <c r="I7" s="3456" t="s">
        <v>3589</v>
      </c>
      <c r="J7" s="3456" t="s">
        <v>3586</v>
      </c>
      <c r="K7" s="3456">
        <v>2004</v>
      </c>
      <c r="L7" s="3456">
        <f t="shared" si="0"/>
        <v>109979</v>
      </c>
      <c r="M7" s="3456">
        <v>12520000</v>
      </c>
      <c r="N7" s="3457">
        <v>45170</v>
      </c>
    </row>
    <row r="8" spans="1:15">
      <c r="A8" s="3497">
        <v>6</v>
      </c>
      <c r="B8" s="3497" t="s">
        <v>3590</v>
      </c>
      <c r="C8" s="3497" t="s">
        <v>3591</v>
      </c>
      <c r="D8" s="3497">
        <v>205.8</v>
      </c>
      <c r="E8" s="3497" t="s">
        <v>3585</v>
      </c>
      <c r="F8" s="3497">
        <v>15</v>
      </c>
      <c r="G8" s="3497">
        <v>6</v>
      </c>
      <c r="H8" s="3497" t="s">
        <v>3583</v>
      </c>
      <c r="I8" s="3497" t="s">
        <v>3580</v>
      </c>
      <c r="J8" s="3497" t="s">
        <v>3592</v>
      </c>
      <c r="K8" s="3497">
        <v>2004</v>
      </c>
      <c r="L8" s="3497">
        <f t="shared" si="0"/>
        <v>122935</v>
      </c>
      <c r="M8" s="3497">
        <v>25300000</v>
      </c>
      <c r="N8" s="3498">
        <v>45170</v>
      </c>
    </row>
    <row r="9" spans="1:15">
      <c r="A9" s="3456">
        <v>7</v>
      </c>
      <c r="B9" s="3456" t="s">
        <v>3593</v>
      </c>
      <c r="C9" s="3456" t="s">
        <v>3588</v>
      </c>
      <c r="D9" s="3456">
        <v>168.31</v>
      </c>
      <c r="E9" s="3456" t="s">
        <v>3594</v>
      </c>
      <c r="F9" s="3456">
        <v>15</v>
      </c>
      <c r="G9" s="3456">
        <v>6</v>
      </c>
      <c r="H9" s="3456" t="s">
        <v>3583</v>
      </c>
      <c r="I9" s="3456" t="s">
        <v>3595</v>
      </c>
      <c r="J9" s="3456" t="s">
        <v>3586</v>
      </c>
      <c r="K9" s="3456">
        <v>2004</v>
      </c>
      <c r="L9" s="3456">
        <f t="shared" si="0"/>
        <v>110607</v>
      </c>
      <c r="M9" s="3456">
        <v>18616300</v>
      </c>
      <c r="N9" s="3457">
        <v>45170</v>
      </c>
    </row>
    <row r="10" spans="1:15">
      <c r="A10" s="3523">
        <v>8</v>
      </c>
      <c r="B10" s="3523" t="s">
        <v>3596</v>
      </c>
      <c r="C10" s="3523" t="s">
        <v>3597</v>
      </c>
      <c r="D10" s="3523">
        <v>213</v>
      </c>
      <c r="E10" s="3523" t="s">
        <v>3578</v>
      </c>
      <c r="F10" s="3523">
        <v>15</v>
      </c>
      <c r="G10" s="3523">
        <v>5</v>
      </c>
      <c r="H10" s="3523" t="s">
        <v>3583</v>
      </c>
      <c r="I10" s="3523" t="s">
        <v>3595</v>
      </c>
      <c r="J10" s="3523" t="s">
        <v>3586</v>
      </c>
      <c r="K10" s="3523">
        <v>2004</v>
      </c>
      <c r="L10" s="3523">
        <f t="shared" si="0"/>
        <v>140845</v>
      </c>
      <c r="M10" s="3523">
        <v>30000000</v>
      </c>
      <c r="N10" s="3524">
        <v>45170</v>
      </c>
      <c r="O10" s="3449" t="s">
        <v>3617</v>
      </c>
    </row>
    <row r="11" spans="1:15">
      <c r="A11" s="3523">
        <v>9</v>
      </c>
      <c r="B11" s="3523" t="s">
        <v>3568</v>
      </c>
      <c r="C11" s="3523" t="s">
        <v>3597</v>
      </c>
      <c r="D11" s="3523">
        <v>179.6</v>
      </c>
      <c r="E11" s="3523" t="s">
        <v>2555</v>
      </c>
      <c r="F11" s="3523">
        <v>15</v>
      </c>
      <c r="G11" s="3523">
        <v>8</v>
      </c>
      <c r="H11" s="3523" t="s">
        <v>3408</v>
      </c>
      <c r="I11" s="3523" t="s">
        <v>3498</v>
      </c>
      <c r="J11" s="3523" t="s">
        <v>3497</v>
      </c>
      <c r="K11" s="3523">
        <v>2004</v>
      </c>
      <c r="L11" s="3523">
        <f t="shared" si="0"/>
        <v>128619</v>
      </c>
      <c r="M11" s="3523">
        <v>23100000</v>
      </c>
      <c r="N11" s="3524">
        <v>45139</v>
      </c>
      <c r="O11" s="3449" t="s">
        <v>3616</v>
      </c>
    </row>
    <row r="12" spans="1:15">
      <c r="A12" s="3456">
        <v>10</v>
      </c>
      <c r="B12" s="3456" t="s">
        <v>3569</v>
      </c>
      <c r="C12" s="3456">
        <v>2</v>
      </c>
      <c r="D12" s="3456">
        <v>127</v>
      </c>
      <c r="E12" s="3456" t="s">
        <v>2555</v>
      </c>
      <c r="F12" s="3456">
        <v>15</v>
      </c>
      <c r="G12" s="3456">
        <v>5</v>
      </c>
      <c r="H12" s="3456" t="s">
        <v>3408</v>
      </c>
      <c r="I12" s="3456" t="s">
        <v>3498</v>
      </c>
      <c r="J12" s="3456" t="s">
        <v>3497</v>
      </c>
      <c r="K12" s="3456">
        <v>2004</v>
      </c>
      <c r="L12" s="3456">
        <f t="shared" si="0"/>
        <v>133858</v>
      </c>
      <c r="M12" s="3456">
        <v>17000000</v>
      </c>
      <c r="N12" s="3457">
        <v>45108</v>
      </c>
    </row>
    <row r="13" spans="1:15">
      <c r="A13" s="3456">
        <v>11</v>
      </c>
      <c r="B13" s="3456" t="s">
        <v>3570</v>
      </c>
      <c r="C13" s="3456" t="s">
        <v>3566</v>
      </c>
      <c r="D13" s="3456">
        <v>134</v>
      </c>
      <c r="E13" s="3456" t="s">
        <v>2555</v>
      </c>
      <c r="F13" s="3456">
        <v>15</v>
      </c>
      <c r="G13" s="3456">
        <v>6</v>
      </c>
      <c r="H13" s="3456" t="s">
        <v>3571</v>
      </c>
      <c r="I13" s="3456" t="s">
        <v>3498</v>
      </c>
      <c r="J13" s="3456" t="s">
        <v>3497</v>
      </c>
      <c r="K13" s="3456">
        <v>2004</v>
      </c>
      <c r="L13" s="3456">
        <f t="shared" si="0"/>
        <v>130597</v>
      </c>
      <c r="M13" s="3456">
        <v>17500000</v>
      </c>
      <c r="N13" s="3457">
        <v>45108</v>
      </c>
    </row>
    <row r="14" spans="1:15">
      <c r="A14" s="3456">
        <v>12</v>
      </c>
      <c r="B14" s="3456" t="s">
        <v>3565</v>
      </c>
      <c r="C14" s="3456" t="s">
        <v>3566</v>
      </c>
      <c r="D14" s="3456">
        <v>113.84</v>
      </c>
      <c r="E14" s="3456" t="s">
        <v>2555</v>
      </c>
      <c r="F14" s="3456">
        <v>15</v>
      </c>
      <c r="G14" s="3456">
        <v>15</v>
      </c>
      <c r="H14" s="3456" t="s">
        <v>3571</v>
      </c>
      <c r="I14" s="3456" t="s">
        <v>3498</v>
      </c>
      <c r="J14" s="3456" t="s">
        <v>3497</v>
      </c>
      <c r="K14" s="3456">
        <v>2004</v>
      </c>
      <c r="L14" s="3456">
        <f t="shared" si="0"/>
        <v>120784</v>
      </c>
      <c r="M14" s="3456">
        <v>13750000</v>
      </c>
      <c r="N14" s="3457">
        <v>45108</v>
      </c>
    </row>
    <row r="15" spans="1:15">
      <c r="A15" s="3456">
        <v>13</v>
      </c>
      <c r="B15" s="3456" t="s">
        <v>3572</v>
      </c>
      <c r="C15" s="3456">
        <v>2</v>
      </c>
      <c r="D15" s="3456">
        <v>121</v>
      </c>
      <c r="E15" s="3456" t="s">
        <v>2555</v>
      </c>
      <c r="F15" s="3456">
        <v>15</v>
      </c>
      <c r="G15" s="3456">
        <v>10</v>
      </c>
      <c r="H15" s="3456" t="s">
        <v>3573</v>
      </c>
      <c r="I15" s="3456" t="s">
        <v>3498</v>
      </c>
      <c r="J15" s="3456" t="s">
        <v>3497</v>
      </c>
      <c r="K15" s="3456">
        <v>2004</v>
      </c>
      <c r="L15" s="3456">
        <f t="shared" si="0"/>
        <v>125620</v>
      </c>
      <c r="M15" s="3456">
        <v>15200000</v>
      </c>
      <c r="N15" s="3457">
        <v>45108</v>
      </c>
    </row>
    <row r="16" spans="1:15">
      <c r="A16" s="3456">
        <v>14</v>
      </c>
      <c r="B16" s="3456" t="s">
        <v>3574</v>
      </c>
      <c r="C16" s="3456" t="s">
        <v>3566</v>
      </c>
      <c r="D16" s="3456">
        <v>134.22</v>
      </c>
      <c r="E16" s="3456" t="s">
        <v>2555</v>
      </c>
      <c r="F16" s="3456">
        <v>15</v>
      </c>
      <c r="G16" s="3456">
        <v>10</v>
      </c>
      <c r="H16" s="3456" t="s">
        <v>3571</v>
      </c>
      <c r="I16" s="3456" t="s">
        <v>3498</v>
      </c>
      <c r="J16" s="3456" t="s">
        <v>3497</v>
      </c>
      <c r="K16" s="3456">
        <v>2004</v>
      </c>
      <c r="L16" s="3456">
        <f t="shared" si="0"/>
        <v>131873</v>
      </c>
      <c r="M16" s="3456">
        <v>17700000</v>
      </c>
      <c r="N16" s="3457">
        <v>45047</v>
      </c>
    </row>
    <row r="17" spans="1:17">
      <c r="A17" s="3456">
        <v>15</v>
      </c>
      <c r="B17" s="3456" t="s">
        <v>3598</v>
      </c>
      <c r="C17" s="3456" t="s">
        <v>3566</v>
      </c>
      <c r="D17" s="3456">
        <v>169.18</v>
      </c>
      <c r="E17" s="3456" t="s">
        <v>2555</v>
      </c>
      <c r="F17" s="3456">
        <v>15</v>
      </c>
      <c r="G17" s="3456">
        <v>15</v>
      </c>
      <c r="H17" s="3456" t="s">
        <v>3575</v>
      </c>
      <c r="I17" s="3456" t="s">
        <v>3498</v>
      </c>
      <c r="J17" s="3456" t="s">
        <v>3497</v>
      </c>
      <c r="K17" s="3456">
        <v>2004</v>
      </c>
      <c r="L17" s="3456">
        <f t="shared" si="0"/>
        <v>125783</v>
      </c>
      <c r="M17" s="3456">
        <v>21280000</v>
      </c>
      <c r="N17" s="3457">
        <v>45047</v>
      </c>
    </row>
    <row r="18" spans="1:17">
      <c r="A18" s="3456">
        <v>16</v>
      </c>
      <c r="B18" s="3456" t="s">
        <v>3599</v>
      </c>
      <c r="C18" s="3456" t="s">
        <v>3566</v>
      </c>
      <c r="D18" s="3456">
        <v>168</v>
      </c>
      <c r="E18" s="3456" t="s">
        <v>2555</v>
      </c>
      <c r="F18" s="3456">
        <v>15</v>
      </c>
      <c r="G18" s="3456">
        <v>12</v>
      </c>
      <c r="H18" s="3456" t="s">
        <v>3575</v>
      </c>
      <c r="I18" s="3456" t="s">
        <v>3498</v>
      </c>
      <c r="J18" s="3456" t="s">
        <v>3497</v>
      </c>
      <c r="K18" s="3456">
        <v>2004</v>
      </c>
      <c r="L18" s="3456">
        <f t="shared" si="0"/>
        <v>135714</v>
      </c>
      <c r="M18" s="3456">
        <v>22800000</v>
      </c>
      <c r="N18" s="3457">
        <v>45017</v>
      </c>
    </row>
    <row r="19" spans="1:17">
      <c r="A19" s="3523">
        <v>17</v>
      </c>
      <c r="B19" s="3523" t="s">
        <v>3600</v>
      </c>
      <c r="C19" s="3523" t="s">
        <v>3597</v>
      </c>
      <c r="D19" s="3523">
        <v>168</v>
      </c>
      <c r="E19" s="3523" t="s">
        <v>2555</v>
      </c>
      <c r="F19" s="3523">
        <v>15</v>
      </c>
      <c r="G19" s="3523">
        <v>10</v>
      </c>
      <c r="H19" s="3523" t="s">
        <v>3575</v>
      </c>
      <c r="I19" s="3523" t="s">
        <v>3498</v>
      </c>
      <c r="J19" s="3523" t="s">
        <v>3497</v>
      </c>
      <c r="K19" s="3523">
        <v>2004</v>
      </c>
      <c r="L19" s="3523">
        <f t="shared" si="0"/>
        <v>146429</v>
      </c>
      <c r="M19" s="3523">
        <v>24600000</v>
      </c>
      <c r="N19" s="3524">
        <v>45017</v>
      </c>
      <c r="O19" s="3449" t="s">
        <v>3615</v>
      </c>
    </row>
    <row r="20" spans="1:17">
      <c r="A20" s="3456">
        <v>18</v>
      </c>
      <c r="B20" s="3456" t="s">
        <v>3601</v>
      </c>
      <c r="C20" s="3456" t="s">
        <v>3566</v>
      </c>
      <c r="D20" s="3456">
        <v>167.95</v>
      </c>
      <c r="E20" s="3456" t="s">
        <v>2555</v>
      </c>
      <c r="F20" s="3456">
        <v>15</v>
      </c>
      <c r="G20" s="3456">
        <v>1</v>
      </c>
      <c r="H20" s="3456" t="s">
        <v>3575</v>
      </c>
      <c r="I20" s="3456" t="s">
        <v>3498</v>
      </c>
      <c r="J20" s="3456" t="s">
        <v>3497</v>
      </c>
      <c r="K20" s="3456">
        <v>2004</v>
      </c>
      <c r="L20" s="3456">
        <f t="shared" si="0"/>
        <v>118011</v>
      </c>
      <c r="M20" s="3456">
        <v>19820000</v>
      </c>
      <c r="N20" s="3457">
        <v>44986</v>
      </c>
    </row>
    <row r="21" spans="1:17">
      <c r="A21" s="3456">
        <v>19</v>
      </c>
      <c r="B21" s="3456" t="s">
        <v>3602</v>
      </c>
      <c r="C21" s="3456">
        <v>2</v>
      </c>
      <c r="D21" s="3456">
        <v>127.84</v>
      </c>
      <c r="E21" s="3456" t="s">
        <v>2555</v>
      </c>
      <c r="F21" s="3456">
        <v>15</v>
      </c>
      <c r="G21" s="3456">
        <v>8</v>
      </c>
      <c r="H21" s="3456" t="s">
        <v>3575</v>
      </c>
      <c r="I21" s="3456" t="s">
        <v>3498</v>
      </c>
      <c r="J21" s="3456" t="s">
        <v>3497</v>
      </c>
      <c r="K21" s="3456">
        <v>2004</v>
      </c>
      <c r="L21" s="3456">
        <f t="shared" si="0"/>
        <v>132822</v>
      </c>
      <c r="M21" s="3456">
        <v>16980000</v>
      </c>
      <c r="N21" s="3457">
        <v>44986</v>
      </c>
    </row>
    <row r="22" spans="1:17">
      <c r="A22" s="3456">
        <v>20</v>
      </c>
      <c r="B22" s="3456" t="s">
        <v>3603</v>
      </c>
      <c r="C22" s="3456" t="s">
        <v>3566</v>
      </c>
      <c r="D22" s="3456">
        <v>137</v>
      </c>
      <c r="E22" s="3456" t="s">
        <v>2555</v>
      </c>
      <c r="F22" s="3456">
        <v>15</v>
      </c>
      <c r="G22" s="3456">
        <v>2</v>
      </c>
      <c r="H22" s="3456" t="s">
        <v>3575</v>
      </c>
      <c r="I22" s="3456" t="s">
        <v>3498</v>
      </c>
      <c r="J22" s="3456" t="s">
        <v>3497</v>
      </c>
      <c r="K22" s="3456">
        <v>2004</v>
      </c>
      <c r="L22" s="3456">
        <f t="shared" si="0"/>
        <v>121168</v>
      </c>
      <c r="M22" s="3456">
        <v>16600000</v>
      </c>
      <c r="N22" s="3457">
        <v>44958</v>
      </c>
      <c r="Q22">
        <v>4</v>
      </c>
    </row>
    <row r="23" spans="1:17">
      <c r="A23" s="3456">
        <v>21</v>
      </c>
      <c r="B23" s="3456" t="s">
        <v>3604</v>
      </c>
      <c r="C23" s="3456" t="s">
        <v>3566</v>
      </c>
      <c r="D23" s="3456">
        <v>137</v>
      </c>
      <c r="E23" s="3456" t="s">
        <v>2555</v>
      </c>
      <c r="F23" s="3456">
        <v>15</v>
      </c>
      <c r="G23" s="3456">
        <v>3</v>
      </c>
      <c r="H23" s="3456" t="s">
        <v>3575</v>
      </c>
      <c r="I23" s="3456" t="s">
        <v>3498</v>
      </c>
      <c r="J23" s="3456" t="s">
        <v>3497</v>
      </c>
      <c r="K23" s="3456">
        <v>2004</v>
      </c>
      <c r="L23" s="3456">
        <f t="shared" si="0"/>
        <v>126277</v>
      </c>
      <c r="M23" s="3456">
        <v>17300000</v>
      </c>
      <c r="N23" s="3457">
        <v>44958</v>
      </c>
      <c r="Q23">
        <v>13</v>
      </c>
    </row>
    <row r="24" spans="1:17">
      <c r="A24" s="3497">
        <v>22</v>
      </c>
      <c r="B24" s="3497" t="s">
        <v>3605</v>
      </c>
      <c r="C24" s="3497" t="s">
        <v>3597</v>
      </c>
      <c r="D24" s="3497">
        <v>209</v>
      </c>
      <c r="E24" s="3497" t="s">
        <v>2555</v>
      </c>
      <c r="F24" s="3497">
        <v>15</v>
      </c>
      <c r="G24" s="3497">
        <v>10</v>
      </c>
      <c r="H24" s="3497" t="s">
        <v>3575</v>
      </c>
      <c r="I24" s="3497" t="s">
        <v>3498</v>
      </c>
      <c r="J24" s="3497" t="s">
        <v>3497</v>
      </c>
      <c r="K24" s="3497">
        <v>2004</v>
      </c>
      <c r="L24" s="3497">
        <f t="shared" si="0"/>
        <v>132919</v>
      </c>
      <c r="M24" s="3497">
        <v>27780000</v>
      </c>
      <c r="N24" s="3498">
        <v>44958</v>
      </c>
      <c r="Q24">
        <v>14</v>
      </c>
    </row>
    <row r="25" spans="1:17">
      <c r="A25" s="3456">
        <v>23</v>
      </c>
      <c r="B25" s="3456" t="s">
        <v>3606</v>
      </c>
      <c r="C25" s="3456">
        <v>2</v>
      </c>
      <c r="D25" s="3456">
        <v>137</v>
      </c>
      <c r="E25" s="3456" t="s">
        <v>2555</v>
      </c>
      <c r="F25" s="3456">
        <v>15</v>
      </c>
      <c r="G25" s="3456">
        <v>2</v>
      </c>
      <c r="H25" s="3456" t="s">
        <v>3575</v>
      </c>
      <c r="I25" s="3456" t="s">
        <v>3498</v>
      </c>
      <c r="J25" s="3456" t="s">
        <v>3497</v>
      </c>
      <c r="K25" s="3456">
        <v>2004</v>
      </c>
      <c r="L25" s="3456">
        <f t="shared" si="0"/>
        <v>118978</v>
      </c>
      <c r="M25" s="3456">
        <v>16300000</v>
      </c>
      <c r="N25" s="3457">
        <v>44958</v>
      </c>
    </row>
    <row r="26" spans="1:17">
      <c r="A26" s="3456">
        <v>24</v>
      </c>
      <c r="B26" s="3456" t="s">
        <v>3608</v>
      </c>
      <c r="C26" s="3456" t="s">
        <v>3566</v>
      </c>
      <c r="D26" s="3456">
        <v>164</v>
      </c>
      <c r="E26" s="3456" t="s">
        <v>3609</v>
      </c>
      <c r="F26" s="3456">
        <v>15</v>
      </c>
      <c r="G26" s="3456">
        <v>3</v>
      </c>
      <c r="H26" s="3456" t="s">
        <v>3571</v>
      </c>
      <c r="I26" s="3456" t="s">
        <v>3589</v>
      </c>
      <c r="J26" s="3456" t="s">
        <v>3586</v>
      </c>
      <c r="K26" s="3456">
        <v>2004</v>
      </c>
      <c r="L26" s="3456">
        <f t="shared" si="0"/>
        <v>113415</v>
      </c>
      <c r="M26" s="3456">
        <v>18600000</v>
      </c>
      <c r="N26" s="3457">
        <v>44927</v>
      </c>
    </row>
    <row r="27" spans="1:17">
      <c r="A27" s="3456">
        <v>25</v>
      </c>
      <c r="B27" s="3456" t="s">
        <v>3607</v>
      </c>
      <c r="C27" s="3456" t="s">
        <v>3566</v>
      </c>
      <c r="D27" s="3456">
        <v>141</v>
      </c>
      <c r="E27" s="3456" t="s">
        <v>3585</v>
      </c>
      <c r="F27" s="3456">
        <v>15</v>
      </c>
      <c r="G27" s="3456">
        <v>15</v>
      </c>
      <c r="H27" s="3456" t="s">
        <v>3583</v>
      </c>
      <c r="I27" s="3456" t="s">
        <v>3610</v>
      </c>
      <c r="J27" s="3456" t="s">
        <v>3586</v>
      </c>
      <c r="K27" s="3456">
        <v>2004</v>
      </c>
      <c r="L27" s="3456">
        <f t="shared" si="0"/>
        <v>118440</v>
      </c>
      <c r="M27" s="3456">
        <v>16700000</v>
      </c>
      <c r="N27" s="3457">
        <v>44927</v>
      </c>
    </row>
    <row r="28" spans="1:17">
      <c r="A28" s="3456">
        <v>26</v>
      </c>
      <c r="B28" s="3456" t="s">
        <v>3611</v>
      </c>
      <c r="C28" s="3456" t="s">
        <v>3566</v>
      </c>
      <c r="D28" s="3456">
        <v>137</v>
      </c>
      <c r="E28" s="3456" t="s">
        <v>3585</v>
      </c>
      <c r="F28" s="3456">
        <v>15</v>
      </c>
      <c r="G28" s="3456">
        <v>12</v>
      </c>
      <c r="H28" s="3456" t="s">
        <v>3571</v>
      </c>
      <c r="I28" s="3456" t="s">
        <v>3580</v>
      </c>
      <c r="J28" s="3456" t="s">
        <v>3586</v>
      </c>
      <c r="K28" s="3456">
        <v>2004</v>
      </c>
      <c r="L28" s="3456">
        <f t="shared" si="0"/>
        <v>127737</v>
      </c>
      <c r="M28" s="3456">
        <v>17500000</v>
      </c>
      <c r="N28" s="3457">
        <v>44927</v>
      </c>
    </row>
    <row r="29" spans="1:17">
      <c r="A29" s="3456">
        <v>27</v>
      </c>
      <c r="B29" s="3456" t="s">
        <v>3612</v>
      </c>
      <c r="C29" s="3456" t="s">
        <v>3566</v>
      </c>
      <c r="D29" s="3456">
        <v>137</v>
      </c>
      <c r="E29" s="3456" t="s">
        <v>3585</v>
      </c>
      <c r="F29" s="3456">
        <v>15</v>
      </c>
      <c r="G29" s="3456">
        <v>5</v>
      </c>
      <c r="H29" s="3456" t="s">
        <v>3579</v>
      </c>
      <c r="I29" s="3456" t="s">
        <v>3580</v>
      </c>
      <c r="J29" s="3456" t="s">
        <v>3586</v>
      </c>
      <c r="K29" s="3456">
        <v>2004</v>
      </c>
      <c r="L29" s="3456">
        <f t="shared" si="0"/>
        <v>124088</v>
      </c>
      <c r="M29" s="3456">
        <v>17000000</v>
      </c>
      <c r="N29" s="3457">
        <v>44927</v>
      </c>
    </row>
    <row r="30" spans="1:17">
      <c r="A30" s="3497">
        <v>28</v>
      </c>
      <c r="B30" s="3497" t="s">
        <v>3567</v>
      </c>
      <c r="C30" s="3497" t="s">
        <v>3597</v>
      </c>
      <c r="D30" s="3497">
        <v>213</v>
      </c>
      <c r="E30" s="3497" t="s">
        <v>3594</v>
      </c>
      <c r="F30" s="3497">
        <v>15</v>
      </c>
      <c r="G30" s="3497">
        <v>5</v>
      </c>
      <c r="H30" s="3497" t="s">
        <v>3579</v>
      </c>
      <c r="I30" s="3497" t="s">
        <v>3589</v>
      </c>
      <c r="J30" s="3497" t="s">
        <v>3613</v>
      </c>
      <c r="K30" s="3497">
        <v>2004</v>
      </c>
      <c r="L30" s="3497">
        <f t="shared" si="0"/>
        <v>112770</v>
      </c>
      <c r="M30" s="3497">
        <v>24020000</v>
      </c>
      <c r="N30" s="3498">
        <v>44927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6" zoomScaleNormal="100" workbookViewId="0">
      <selection sqref="A1:XFD5"/>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hidden="1"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hidden="1" customHeight="1">
      <c r="A2" s="3456">
        <v>1</v>
      </c>
      <c r="B2" s="3456" t="s">
        <v>3482</v>
      </c>
      <c r="C2" s="3456" t="s">
        <v>3483</v>
      </c>
      <c r="D2" s="3456" t="s">
        <v>3484</v>
      </c>
      <c r="E2" s="3456">
        <v>283.14</v>
      </c>
      <c r="F2" s="3456" t="s">
        <v>3485</v>
      </c>
      <c r="G2" s="3456" t="s">
        <v>3486</v>
      </c>
      <c r="H2" s="3456">
        <v>8</v>
      </c>
      <c r="I2" s="3456" t="s">
        <v>3495</v>
      </c>
      <c r="J2" s="3456" t="s">
        <v>3498</v>
      </c>
      <c r="K2" s="3456" t="s">
        <v>3497</v>
      </c>
      <c r="L2" s="3456">
        <v>2009</v>
      </c>
      <c r="M2" s="3456">
        <v>84764</v>
      </c>
      <c r="N2" s="3456">
        <v>78193</v>
      </c>
      <c r="O2" s="3456">
        <v>22139566</v>
      </c>
      <c r="P2" s="3457">
        <v>44675</v>
      </c>
      <c r="Q2" s="3457" t="s">
        <v>3501</v>
      </c>
    </row>
    <row r="3" spans="1:17" s="3455" customFormat="1" ht="19.5" hidden="1" customHeight="1">
      <c r="A3" s="3456">
        <v>2</v>
      </c>
      <c r="B3" s="3456" t="s">
        <v>3488</v>
      </c>
      <c r="C3" s="3456" t="s">
        <v>3487</v>
      </c>
      <c r="D3" s="3456" t="s">
        <v>3484</v>
      </c>
      <c r="E3" s="3456">
        <v>64.400000000000006</v>
      </c>
      <c r="F3" s="3456" t="s">
        <v>3485</v>
      </c>
      <c r="G3" s="3456">
        <v>18</v>
      </c>
      <c r="H3" s="3456">
        <v>2</v>
      </c>
      <c r="I3" s="3456" t="s">
        <v>3500</v>
      </c>
      <c r="J3" s="3456" t="s">
        <v>3496</v>
      </c>
      <c r="K3" s="3456" t="s">
        <v>3497</v>
      </c>
      <c r="L3" s="3456">
        <v>1990</v>
      </c>
      <c r="M3" s="3456">
        <v>88665</v>
      </c>
      <c r="N3" s="3456">
        <v>82246</v>
      </c>
      <c r="O3" s="3456">
        <v>5296642</v>
      </c>
      <c r="P3" s="3457">
        <v>44624</v>
      </c>
      <c r="Q3" s="3457" t="s">
        <v>3499</v>
      </c>
    </row>
    <row r="4" spans="1:17" s="3455" customFormat="1" ht="19.5" hidden="1" customHeight="1">
      <c r="A4" s="3450">
        <v>3</v>
      </c>
      <c r="B4" s="3450" t="s">
        <v>3489</v>
      </c>
      <c r="C4" s="3450" t="s">
        <v>3490</v>
      </c>
      <c r="D4" s="3450" t="s">
        <v>3484</v>
      </c>
      <c r="E4" s="3450">
        <v>220.4</v>
      </c>
      <c r="F4" s="3450" t="s">
        <v>3485</v>
      </c>
      <c r="G4" s="3450" t="s">
        <v>3491</v>
      </c>
      <c r="H4" s="3450">
        <v>14</v>
      </c>
      <c r="I4" s="3450" t="s">
        <v>3503</v>
      </c>
      <c r="J4" s="3450" t="s">
        <v>3496</v>
      </c>
      <c r="K4" s="3450" t="s">
        <v>3497</v>
      </c>
      <c r="L4" s="3450">
        <v>1999</v>
      </c>
      <c r="M4" s="3450">
        <v>68875</v>
      </c>
      <c r="N4" s="3450">
        <v>67151</v>
      </c>
      <c r="O4" s="3450">
        <v>14800080</v>
      </c>
      <c r="P4" s="3453">
        <v>44651</v>
      </c>
      <c r="Q4" s="3453" t="s">
        <v>3502</v>
      </c>
    </row>
    <row r="5" spans="1:17" s="3455" customFormat="1" ht="19.5" hidden="1" customHeight="1">
      <c r="A5" s="3456">
        <v>4</v>
      </c>
      <c r="B5" s="3456" t="s">
        <v>3493</v>
      </c>
      <c r="C5" s="3456" t="s">
        <v>3487</v>
      </c>
      <c r="D5" s="3456" t="s">
        <v>3492</v>
      </c>
      <c r="E5" s="3456">
        <v>62.25</v>
      </c>
      <c r="F5" s="3456" t="s">
        <v>3485</v>
      </c>
      <c r="G5" s="3456">
        <v>6</v>
      </c>
      <c r="H5" s="3456">
        <v>3</v>
      </c>
      <c r="I5" s="3456" t="s">
        <v>3495</v>
      </c>
      <c r="J5" s="3456" t="s">
        <v>3496</v>
      </c>
      <c r="K5" s="3456" t="s">
        <v>3497</v>
      </c>
      <c r="L5" s="3456">
        <v>1989</v>
      </c>
      <c r="M5" s="3456">
        <f>ROUND(91084-15.6,0)</f>
        <v>91068</v>
      </c>
      <c r="N5" s="3456">
        <v>87941</v>
      </c>
      <c r="O5" s="3456">
        <v>5474327</v>
      </c>
      <c r="P5" s="3457">
        <v>45013</v>
      </c>
      <c r="Q5" s="3457" t="s">
        <v>3499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D28" zoomScale="110" zoomScaleNormal="110" workbookViewId="0">
      <selection activeCell="L34" sqref="L34"/>
    </sheetView>
  </sheetViews>
  <sheetFormatPr defaultRowHeight="13.5"/>
  <cols>
    <col min="2" max="3" width="9" customWidth="1"/>
    <col min="4" max="4" width="9" style="3501"/>
    <col min="5" max="5" width="9" customWidth="1"/>
    <col min="6" max="6" width="11" customWidth="1"/>
  </cols>
  <sheetData>
    <row r="1" spans="1:8">
      <c r="A1" s="1238" t="s">
        <v>3505</v>
      </c>
      <c r="B1" s="1238" t="s">
        <v>3506</v>
      </c>
      <c r="C1" s="1238" t="s">
        <v>3507</v>
      </c>
      <c r="D1" s="3500" t="s">
        <v>3508</v>
      </c>
      <c r="E1" s="1238" t="s">
        <v>3509</v>
      </c>
    </row>
    <row r="2" spans="1:8" ht="17.25" hidden="1" customHeight="1">
      <c r="A2" s="1238" t="s">
        <v>3510</v>
      </c>
      <c r="B2" s="1238">
        <v>63184</v>
      </c>
      <c r="C2" s="1238">
        <v>566.33000000000004</v>
      </c>
      <c r="D2" s="3500">
        <v>72483</v>
      </c>
      <c r="E2" s="1238">
        <v>4104.84</v>
      </c>
    </row>
    <row r="3" spans="1:8" hidden="1">
      <c r="A3" s="3507">
        <v>45231</v>
      </c>
      <c r="B3" s="1238"/>
      <c r="C3" s="1238"/>
      <c r="D3" s="3500"/>
      <c r="E3" s="1238"/>
    </row>
    <row r="4" spans="1:8">
      <c r="A4" s="3502">
        <v>45200.333831018521</v>
      </c>
      <c r="B4" s="1238">
        <v>2256</v>
      </c>
      <c r="C4" s="1238">
        <v>21.27</v>
      </c>
      <c r="D4" s="3500">
        <v>67774</v>
      </c>
      <c r="E4" s="1238">
        <v>144.15</v>
      </c>
    </row>
    <row r="5" spans="1:8">
      <c r="A5" s="3502">
        <v>45170.333831018521</v>
      </c>
      <c r="B5" s="1238">
        <v>3146</v>
      </c>
      <c r="C5" s="1238">
        <v>28.41</v>
      </c>
      <c r="D5" s="3500">
        <v>67773</v>
      </c>
      <c r="E5" s="1238">
        <v>192.53</v>
      </c>
    </row>
    <row r="6" spans="1:8">
      <c r="A6" s="3502">
        <v>45139.333831018521</v>
      </c>
      <c r="B6" s="1238">
        <v>2406</v>
      </c>
      <c r="C6" s="1238">
        <v>22.27</v>
      </c>
      <c r="D6" s="3500">
        <v>67579</v>
      </c>
      <c r="E6" s="1238">
        <v>150.47</v>
      </c>
    </row>
    <row r="7" spans="1:8">
      <c r="A7" s="3502">
        <v>45108.333831018521</v>
      </c>
      <c r="B7" s="1238">
        <v>2414</v>
      </c>
      <c r="C7" s="1238">
        <v>20.88</v>
      </c>
      <c r="D7" s="3500">
        <v>73138</v>
      </c>
      <c r="E7" s="1238">
        <v>152.69999999999999</v>
      </c>
    </row>
    <row r="8" spans="1:8">
      <c r="A8" s="3502">
        <v>45078.333831018521</v>
      </c>
      <c r="B8" s="1238">
        <v>2982</v>
      </c>
      <c r="C8" s="1238">
        <v>25.68</v>
      </c>
      <c r="D8" s="3500">
        <v>73244</v>
      </c>
      <c r="E8" s="1238">
        <v>188.08</v>
      </c>
    </row>
    <row r="9" spans="1:8">
      <c r="A9" s="3502">
        <v>45047.333831018521</v>
      </c>
      <c r="B9" s="1238">
        <v>3154</v>
      </c>
      <c r="C9" s="1238">
        <v>27.75</v>
      </c>
      <c r="D9" s="3500">
        <v>74145</v>
      </c>
      <c r="E9" s="1238">
        <v>205.74</v>
      </c>
    </row>
    <row r="10" spans="1:8">
      <c r="A10" s="3502">
        <v>45017.333831018521</v>
      </c>
      <c r="B10" s="1238">
        <v>3418</v>
      </c>
      <c r="C10" s="1238">
        <v>29.88</v>
      </c>
      <c r="D10" s="3500">
        <v>72915</v>
      </c>
      <c r="E10" s="1238">
        <v>217.85</v>
      </c>
    </row>
    <row r="11" spans="1:8">
      <c r="A11" s="3504">
        <v>44986.333831018521</v>
      </c>
      <c r="B11" s="3505">
        <v>5314</v>
      </c>
      <c r="C11" s="3505">
        <v>46.76</v>
      </c>
      <c r="D11" s="3506">
        <v>74192</v>
      </c>
      <c r="E11" s="3505">
        <v>346.96</v>
      </c>
      <c r="F11">
        <f>ROUND((D11-D4)/D4,3)*100%</f>
        <v>9.5000000000000001E-2</v>
      </c>
      <c r="G11" s="3508">
        <v>9.5000000000000001E-2</v>
      </c>
      <c r="H11" s="3510"/>
    </row>
    <row r="12" spans="1:8">
      <c r="A12" s="3502">
        <v>44958.333831018521</v>
      </c>
      <c r="B12" s="1238">
        <v>3435</v>
      </c>
      <c r="C12" s="1238">
        <v>29.91</v>
      </c>
      <c r="D12" s="3500">
        <v>73365</v>
      </c>
      <c r="E12" s="1238">
        <v>219.44</v>
      </c>
    </row>
    <row r="13" spans="1:8">
      <c r="A13" s="3502">
        <v>44927.333831018521</v>
      </c>
      <c r="B13" s="1238">
        <v>1977</v>
      </c>
      <c r="C13" s="1238">
        <v>17.45</v>
      </c>
      <c r="D13" s="3500">
        <v>73239</v>
      </c>
      <c r="E13" s="1238">
        <v>127.79</v>
      </c>
    </row>
    <row r="14" spans="1:8">
      <c r="A14" s="3503">
        <v>44896.333831018521</v>
      </c>
      <c r="B14" s="1238">
        <v>2057</v>
      </c>
      <c r="C14" s="1238">
        <v>18.09</v>
      </c>
      <c r="D14" s="3500">
        <v>72771</v>
      </c>
      <c r="E14" s="1238">
        <v>131.63</v>
      </c>
    </row>
    <row r="15" spans="1:8">
      <c r="A15" s="3503">
        <v>44866.333831018521</v>
      </c>
      <c r="B15" s="1238">
        <v>2365</v>
      </c>
      <c r="C15" s="1238">
        <v>20.57</v>
      </c>
      <c r="D15" s="3500">
        <v>74114</v>
      </c>
      <c r="E15" s="1238">
        <v>152.44</v>
      </c>
    </row>
    <row r="16" spans="1:8">
      <c r="A16" s="3503">
        <v>44835.333831018521</v>
      </c>
      <c r="B16" s="1238">
        <v>2742</v>
      </c>
      <c r="C16" s="1238">
        <v>24.43</v>
      </c>
      <c r="D16" s="3500">
        <v>73127</v>
      </c>
      <c r="E16" s="1238">
        <v>178.67</v>
      </c>
    </row>
    <row r="17" spans="1:7">
      <c r="A17" s="3504">
        <v>44805.333831018521</v>
      </c>
      <c r="B17" s="3505">
        <v>3534</v>
      </c>
      <c r="C17" s="3505">
        <v>31.24</v>
      </c>
      <c r="D17" s="3506">
        <v>72784</v>
      </c>
      <c r="E17" s="3505">
        <v>227.4</v>
      </c>
      <c r="F17">
        <f>ROUND((D17-D4)/D4,3)</f>
        <v>7.3999999999999996E-2</v>
      </c>
      <c r="G17" s="3509">
        <v>7.3999999999999996E-2</v>
      </c>
    </row>
    <row r="18" spans="1:7">
      <c r="A18" s="3503">
        <v>44774.333831018521</v>
      </c>
      <c r="B18" s="1238">
        <v>3425</v>
      </c>
      <c r="C18" s="1238">
        <v>30.24</v>
      </c>
      <c r="D18" s="3500">
        <v>73058</v>
      </c>
      <c r="E18" s="1238">
        <v>220.89</v>
      </c>
    </row>
    <row r="19" spans="1:7">
      <c r="A19" s="3504">
        <v>44743.333831018521</v>
      </c>
      <c r="B19" s="3505">
        <v>2866</v>
      </c>
      <c r="C19" s="3505">
        <v>27.33</v>
      </c>
      <c r="D19" s="3506">
        <v>73596</v>
      </c>
      <c r="E19" s="3505">
        <v>201.14</v>
      </c>
      <c r="F19">
        <f>ROUND((D19-D4)/D4,3)</f>
        <v>8.5999999999999993E-2</v>
      </c>
      <c r="G19" s="3508">
        <v>8.5999999999999993E-2</v>
      </c>
    </row>
    <row r="20" spans="1:7">
      <c r="A20" s="3503">
        <v>44713.333831018521</v>
      </c>
      <c r="B20" s="1238">
        <v>2604</v>
      </c>
      <c r="C20" s="1238">
        <v>25.9</v>
      </c>
      <c r="D20" s="3500">
        <v>75003</v>
      </c>
      <c r="E20" s="1238">
        <v>194.22</v>
      </c>
    </row>
    <row r="21" spans="1:7">
      <c r="A21" s="3499">
        <v>44682.333831018521</v>
      </c>
      <c r="B21" s="1238">
        <v>1889</v>
      </c>
      <c r="C21" s="1238">
        <v>18.649999999999999</v>
      </c>
      <c r="D21" s="3500">
        <v>74644</v>
      </c>
      <c r="E21" s="1238">
        <v>139.24</v>
      </c>
    </row>
    <row r="22" spans="1:7">
      <c r="A22" s="3499">
        <v>44652.333831018521</v>
      </c>
      <c r="B22" s="1238">
        <v>3291</v>
      </c>
      <c r="C22" s="1238">
        <v>30.7</v>
      </c>
      <c r="D22" s="3500">
        <v>72080</v>
      </c>
      <c r="E22" s="1238">
        <v>221.31</v>
      </c>
    </row>
    <row r="23" spans="1:7">
      <c r="A23" s="3499">
        <v>44621.333831018521</v>
      </c>
      <c r="B23" s="1238">
        <v>4060</v>
      </c>
      <c r="C23" s="1238">
        <v>36.08</v>
      </c>
      <c r="D23" s="3500">
        <v>72249</v>
      </c>
      <c r="E23" s="1238">
        <v>260.68</v>
      </c>
    </row>
    <row r="24" spans="1:7">
      <c r="A24" s="3499">
        <v>44593.333831018521</v>
      </c>
      <c r="B24" s="1238">
        <v>1524</v>
      </c>
      <c r="C24" s="1238">
        <v>13.31</v>
      </c>
      <c r="D24" s="3500">
        <v>70731</v>
      </c>
      <c r="E24" s="1238">
        <v>94.12</v>
      </c>
    </row>
    <row r="25" spans="1:7">
      <c r="A25" s="3499">
        <v>44562.333831018521</v>
      </c>
      <c r="B25" s="1238">
        <v>2325</v>
      </c>
      <c r="C25" s="1238">
        <v>19.53</v>
      </c>
      <c r="D25" s="3500">
        <v>70346</v>
      </c>
      <c r="E25" s="1238">
        <v>137.38999999999999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H39" sqref="H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140014</v>
      </c>
      <c r="C3" s="354" t="s">
        <v>1665</v>
      </c>
      <c r="D3" s="353">
        <f>IF(D1="",'数据-汇总表'!E3,SUMIF('数据-汇总表'!$C19:$C33,D1,'数据-汇总表'!$E19:$E33))</f>
        <v>180.33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5" t="s">
        <v>1667</v>
      </c>
      <c r="D4" s="3736"/>
      <c r="E4" s="3737" t="s">
        <v>1668</v>
      </c>
      <c r="F4" s="3738"/>
      <c r="G4" s="3735" t="s">
        <v>1669</v>
      </c>
      <c r="H4" s="3736"/>
      <c r="I4" s="3735" t="s">
        <v>1670</v>
      </c>
      <c r="J4" s="3736"/>
      <c r="K4" s="1888" t="s">
        <v>1671</v>
      </c>
      <c r="L4" s="2714"/>
      <c r="M4" s="2715"/>
      <c r="N4" s="2715"/>
      <c r="O4" s="2715"/>
      <c r="P4" s="3739" t="s">
        <v>1672</v>
      </c>
      <c r="Q4" s="3740"/>
      <c r="R4" s="3721" t="s">
        <v>1668</v>
      </c>
      <c r="S4" s="3722"/>
      <c r="T4" s="3721" t="s">
        <v>1669</v>
      </c>
      <c r="U4" s="3722"/>
      <c r="V4" s="3747" t="s">
        <v>1670</v>
      </c>
      <c r="W4" s="3747"/>
      <c r="X4" s="1354"/>
      <c r="Y4" s="3721" t="s">
        <v>1672</v>
      </c>
      <c r="Z4" s="3722"/>
      <c r="AA4" s="3716" t="s">
        <v>1668</v>
      </c>
      <c r="AB4" s="3716" t="s">
        <v>1669</v>
      </c>
      <c r="AC4" s="3716" t="s">
        <v>1670</v>
      </c>
    </row>
    <row r="5" spans="1:29" ht="15">
      <c r="A5" s="358"/>
      <c r="B5" s="359"/>
      <c r="C5" s="3727" t="s">
        <v>3614</v>
      </c>
      <c r="D5" s="3728"/>
      <c r="E5" s="3725" t="str">
        <f>C5</f>
        <v>春荫园</v>
      </c>
      <c r="F5" s="3726"/>
      <c r="G5" s="3731" t="str">
        <f>E5</f>
        <v>春荫园</v>
      </c>
      <c r="H5" s="3728"/>
      <c r="I5" s="3731" t="str">
        <f>E5</f>
        <v>春荫园</v>
      </c>
      <c r="J5" s="3728"/>
      <c r="K5" s="1889"/>
      <c r="L5" s="2714"/>
      <c r="M5" s="2715"/>
      <c r="N5" s="2715"/>
      <c r="O5" s="2715"/>
      <c r="P5" s="3741"/>
      <c r="Q5" s="3742"/>
      <c r="R5" s="3723"/>
      <c r="S5" s="3724"/>
      <c r="T5" s="3723"/>
      <c r="U5" s="3724"/>
      <c r="V5" s="3747"/>
      <c r="W5" s="3747"/>
      <c r="X5" s="1354"/>
      <c r="Y5" s="3723"/>
      <c r="Z5" s="3724"/>
      <c r="AA5" s="3717"/>
      <c r="AB5" s="3717"/>
      <c r="AC5" s="3717"/>
    </row>
    <row r="6" spans="1:29" ht="15.75" thickBot="1">
      <c r="A6" s="360"/>
      <c r="B6" s="361"/>
      <c r="C6" s="3729" t="s">
        <v>1677</v>
      </c>
      <c r="D6" s="3730"/>
      <c r="E6" s="3732" t="s">
        <v>1677</v>
      </c>
      <c r="F6" s="3733"/>
      <c r="G6" s="3729" t="s">
        <v>1677</v>
      </c>
      <c r="H6" s="3730"/>
      <c r="I6" s="3729" t="s">
        <v>1677</v>
      </c>
      <c r="J6" s="3730"/>
      <c r="K6" s="1889" t="s">
        <v>1678</v>
      </c>
      <c r="L6" s="2714"/>
      <c r="M6" s="2715"/>
      <c r="N6" s="2715"/>
      <c r="O6" s="2715"/>
      <c r="P6" s="3743"/>
      <c r="Q6" s="3744"/>
      <c r="R6" s="3723"/>
      <c r="S6" s="3724"/>
      <c r="T6" s="3745"/>
      <c r="U6" s="3746"/>
      <c r="V6" s="3747"/>
      <c r="W6" s="3747"/>
      <c r="X6" s="1354"/>
      <c r="Y6" s="3745"/>
      <c r="Z6" s="3746"/>
      <c r="AA6" s="3718"/>
      <c r="AB6" s="3718"/>
      <c r="AC6" s="3718"/>
    </row>
    <row r="7" spans="1:29" s="108" customFormat="1" ht="15.75" thickBot="1">
      <c r="A7" s="362" t="s">
        <v>1679</v>
      </c>
      <c r="B7" s="363"/>
      <c r="C7" s="364">
        <f>'数据-取费表'!B2</f>
        <v>45364</v>
      </c>
      <c r="D7" s="365">
        <v>100</v>
      </c>
      <c r="E7" s="366">
        <f>市调!N10</f>
        <v>45170</v>
      </c>
      <c r="F7" s="367">
        <f>SUMIF(58:58,YEAR(E7)&amp;"-"&amp;MONTH(E7),59:59)</f>
        <v>101</v>
      </c>
      <c r="G7" s="366">
        <f>市调!N11</f>
        <v>45139</v>
      </c>
      <c r="H7" s="365">
        <f>SUMIF(58:58,YEAR(G7)&amp;"-"&amp;MONTH(G7),59:59)</f>
        <v>101</v>
      </c>
      <c r="I7" s="366">
        <f>市调!N19</f>
        <v>45017</v>
      </c>
      <c r="J7" s="365">
        <f>SUMIF(58:58,YEAR(I7)&amp;"-"&amp;MONTH(I7),59:59)</f>
        <v>102</v>
      </c>
      <c r="K7" s="1890"/>
      <c r="L7" s="2716"/>
      <c r="M7" s="2717"/>
      <c r="N7" s="2717"/>
      <c r="O7" s="2717"/>
      <c r="P7" s="3719" t="s">
        <v>1680</v>
      </c>
      <c r="Q7" s="3748"/>
      <c r="R7" s="701" t="s">
        <v>20</v>
      </c>
      <c r="S7" s="702">
        <f t="shared" ref="S7:S15" si="0">F7</f>
        <v>101</v>
      </c>
      <c r="T7" s="701" t="s">
        <v>20</v>
      </c>
      <c r="U7" s="702">
        <f t="shared" ref="U7:U15" si="1">H7</f>
        <v>101</v>
      </c>
      <c r="V7" s="701" t="s">
        <v>20</v>
      </c>
      <c r="W7" s="702">
        <f t="shared" ref="W7:W15" si="2">J7</f>
        <v>102</v>
      </c>
      <c r="X7" s="703"/>
      <c r="Y7" s="3719" t="s">
        <v>1680</v>
      </c>
      <c r="Z7" s="3720"/>
      <c r="AA7" s="704">
        <f>D7/F7</f>
        <v>0.99009900990099009</v>
      </c>
      <c r="AB7" s="704">
        <f>D7/H7</f>
        <v>0.99009900990099009</v>
      </c>
      <c r="AC7" s="704">
        <f>D7/J7</f>
        <v>0.98039215686274506</v>
      </c>
    </row>
    <row r="8" spans="1:29" s="108" customFormat="1" ht="15.75" thickBot="1">
      <c r="A8" s="362" t="s">
        <v>1681</v>
      </c>
      <c r="B8" s="363"/>
      <c r="C8" s="368" t="s">
        <v>3411</v>
      </c>
      <c r="D8" s="365">
        <v>100</v>
      </c>
      <c r="E8" s="1891" t="s">
        <v>3411</v>
      </c>
      <c r="F8" s="367">
        <f>SUMIF(61:61,E8,62:62)-SUMIF(61:61,C8,62:62)+100</f>
        <v>100</v>
      </c>
      <c r="G8" s="368" t="s">
        <v>3411</v>
      </c>
      <c r="H8" s="365">
        <f>SUMIF(61:61,G8,62:62)-SUMIF(61:61,C8,62:62)+100</f>
        <v>100</v>
      </c>
      <c r="I8" s="1891" t="s">
        <v>3411</v>
      </c>
      <c r="J8" s="365">
        <f>SUMIF(61:61,I8,62:62)-SUMIF(61:61,C8,62:62)+100</f>
        <v>100</v>
      </c>
      <c r="K8" s="1890"/>
      <c r="L8" s="2716"/>
      <c r="M8" s="2717"/>
      <c r="N8" s="2717"/>
      <c r="O8" s="2717"/>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ht="15" thickBot="1">
      <c r="A9" s="369" t="s">
        <v>1684</v>
      </c>
      <c r="B9" s="63" t="s">
        <v>1685</v>
      </c>
      <c r="C9" s="3458" t="s">
        <v>3412</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34"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34"/>
      <c r="Q11" s="1342" t="str">
        <f t="shared" si="6"/>
        <v>容积率</v>
      </c>
      <c r="R11" s="701" t="s">
        <v>18</v>
      </c>
      <c r="S11" s="702">
        <f t="shared" si="0"/>
        <v>100</v>
      </c>
      <c r="T11" s="701" t="s">
        <v>18</v>
      </c>
      <c r="U11" s="702">
        <f t="shared" si="1"/>
        <v>100</v>
      </c>
      <c r="V11" s="701" t="s">
        <v>18</v>
      </c>
      <c r="W11" s="702">
        <f t="shared" si="2"/>
        <v>100</v>
      </c>
      <c r="X11" s="703"/>
      <c r="Y11" s="3689"/>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4"/>
      <c r="Q12" s="1342">
        <f t="shared" si="6"/>
        <v>111</v>
      </c>
      <c r="R12" s="701" t="s">
        <v>18</v>
      </c>
      <c r="S12" s="702">
        <f t="shared" si="0"/>
        <v>100</v>
      </c>
      <c r="T12" s="701" t="s">
        <v>18</v>
      </c>
      <c r="U12" s="702">
        <f t="shared" si="1"/>
        <v>100</v>
      </c>
      <c r="V12" s="701" t="s">
        <v>18</v>
      </c>
      <c r="W12" s="702">
        <f t="shared" si="2"/>
        <v>100</v>
      </c>
      <c r="X12" s="703"/>
      <c r="Y12" s="368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4"/>
      <c r="Q13" s="1342">
        <f t="shared" si="6"/>
        <v>111</v>
      </c>
      <c r="R13" s="701" t="s">
        <v>18</v>
      </c>
      <c r="S13" s="702">
        <f t="shared" si="0"/>
        <v>100</v>
      </c>
      <c r="T13" s="701" t="s">
        <v>18</v>
      </c>
      <c r="U13" s="702">
        <f t="shared" si="1"/>
        <v>100</v>
      </c>
      <c r="V13" s="701" t="s">
        <v>18</v>
      </c>
      <c r="W13" s="702">
        <f t="shared" si="2"/>
        <v>100</v>
      </c>
      <c r="X13" s="703"/>
      <c r="Y13" s="3689"/>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4"/>
      <c r="Q14" s="1342">
        <f t="shared" si="6"/>
        <v>111</v>
      </c>
      <c r="R14" s="701" t="s">
        <v>18</v>
      </c>
      <c r="S14" s="702">
        <f t="shared" si="0"/>
        <v>100</v>
      </c>
      <c r="T14" s="701" t="s">
        <v>18</v>
      </c>
      <c r="U14" s="702">
        <f t="shared" si="1"/>
        <v>100</v>
      </c>
      <c r="V14" s="701" t="s">
        <v>18</v>
      </c>
      <c r="W14" s="702">
        <f t="shared" si="2"/>
        <v>100</v>
      </c>
      <c r="X14" s="703"/>
      <c r="Y14" s="368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61" t="s">
        <v>1691</v>
      </c>
      <c r="Q15" s="1351" t="str">
        <f t="shared" si="6"/>
        <v>居住社区成熟度</v>
      </c>
      <c r="R15" s="705" t="s">
        <v>18</v>
      </c>
      <c r="S15" s="706">
        <f t="shared" si="0"/>
        <v>100</v>
      </c>
      <c r="T15" s="705" t="s">
        <v>18</v>
      </c>
      <c r="U15" s="706">
        <f t="shared" si="1"/>
        <v>100</v>
      </c>
      <c r="V15" s="705" t="s">
        <v>18</v>
      </c>
      <c r="W15" s="706">
        <f t="shared" si="2"/>
        <v>100</v>
      </c>
      <c r="X15" s="1354"/>
      <c r="Y15" s="3754" t="s">
        <v>1691</v>
      </c>
      <c r="Z15" s="1355" t="str">
        <f t="shared" si="7"/>
        <v>居住社区成熟度</v>
      </c>
      <c r="AA15" s="1352">
        <f t="shared" si="3"/>
        <v>1</v>
      </c>
      <c r="AB15" s="1352">
        <f t="shared" si="4"/>
        <v>1</v>
      </c>
      <c r="AC15" s="1352">
        <f t="shared" si="5"/>
        <v>1</v>
      </c>
    </row>
    <row r="16" spans="1:29" ht="15">
      <c r="A16" s="379"/>
      <c r="B16" s="397"/>
      <c r="C16" s="398" t="s">
        <v>3413</v>
      </c>
      <c r="D16" s="399"/>
      <c r="E16" s="1896" t="s">
        <v>3413</v>
      </c>
      <c r="F16" s="399"/>
      <c r="G16" s="1896" t="s">
        <v>3413</v>
      </c>
      <c r="H16" s="401"/>
      <c r="I16" s="1896" t="s">
        <v>3413</v>
      </c>
      <c r="J16" s="399"/>
      <c r="K16" s="1898"/>
      <c r="L16" s="2721"/>
      <c r="M16" s="2715"/>
      <c r="N16" s="2715"/>
      <c r="O16" s="2715"/>
      <c r="P16" s="3762"/>
      <c r="Q16" s="1351"/>
      <c r="R16" s="705"/>
      <c r="S16" s="706"/>
      <c r="T16" s="705"/>
      <c r="U16" s="706"/>
      <c r="V16" s="705"/>
      <c r="W16" s="706"/>
      <c r="X16" s="1354"/>
      <c r="Y16" s="375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62"/>
      <c r="Q17" s="1351" t="str">
        <f>B17</f>
        <v>交通便捷度</v>
      </c>
      <c r="R17" s="705" t="s">
        <v>18</v>
      </c>
      <c r="S17" s="706">
        <f>F17</f>
        <v>100</v>
      </c>
      <c r="T17" s="705" t="s">
        <v>18</v>
      </c>
      <c r="U17" s="706">
        <f>H17</f>
        <v>100</v>
      </c>
      <c r="V17" s="705" t="s">
        <v>18</v>
      </c>
      <c r="W17" s="706">
        <f>J17</f>
        <v>100</v>
      </c>
      <c r="X17" s="1354"/>
      <c r="Y17" s="3755"/>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1"/>
      <c r="M18" s="2715"/>
      <c r="N18" s="2715"/>
      <c r="O18" s="2715"/>
      <c r="P18" s="3762"/>
      <c r="Q18" s="1351"/>
      <c r="R18" s="705"/>
      <c r="S18" s="706"/>
      <c r="T18" s="705"/>
      <c r="U18" s="706"/>
      <c r="V18" s="705"/>
      <c r="W18" s="706"/>
      <c r="X18" s="1354"/>
      <c r="Y18" s="375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62"/>
      <c r="Q19" s="1351" t="str">
        <f>B19</f>
        <v>公共配套设施</v>
      </c>
      <c r="R19" s="705" t="s">
        <v>18</v>
      </c>
      <c r="S19" s="706">
        <f>F19</f>
        <v>100</v>
      </c>
      <c r="T19" s="705" t="s">
        <v>18</v>
      </c>
      <c r="U19" s="706">
        <f>H19</f>
        <v>100</v>
      </c>
      <c r="V19" s="705" t="s">
        <v>18</v>
      </c>
      <c r="W19" s="706">
        <f>J19</f>
        <v>100</v>
      </c>
      <c r="X19" s="1354"/>
      <c r="Y19" s="3755"/>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1"/>
      <c r="M20" s="2715"/>
      <c r="N20" s="2715"/>
      <c r="O20" s="2715"/>
      <c r="P20" s="3762"/>
      <c r="Q20" s="1351"/>
      <c r="R20" s="705"/>
      <c r="S20" s="706"/>
      <c r="T20" s="705"/>
      <c r="U20" s="706"/>
      <c r="V20" s="705"/>
      <c r="W20" s="706"/>
      <c r="X20" s="1354"/>
      <c r="Y20" s="375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t="s">
        <v>3414</v>
      </c>
      <c r="D22" s="399"/>
      <c r="E22" s="1900" t="s">
        <v>3414</v>
      </c>
      <c r="F22" s="399"/>
      <c r="G22" s="1900" t="s">
        <v>3414</v>
      </c>
      <c r="H22" s="399"/>
      <c r="I22" s="1900" t="s">
        <v>3414</v>
      </c>
      <c r="J22" s="399"/>
      <c r="K22" s="1904"/>
      <c r="L22" s="2721"/>
      <c r="M22" s="2715"/>
      <c r="N22" s="2715"/>
      <c r="O22" s="2715"/>
      <c r="P22" s="3762"/>
      <c r="Q22" s="1351"/>
      <c r="R22" s="705"/>
      <c r="S22" s="706"/>
      <c r="T22" s="705"/>
      <c r="U22" s="706"/>
      <c r="V22" s="705"/>
      <c r="W22" s="706"/>
      <c r="X22" s="1354"/>
      <c r="Y22" s="375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62"/>
      <c r="Q23" s="1351" t="str">
        <f>B23</f>
        <v>自然及人文环境</v>
      </c>
      <c r="R23" s="705" t="s">
        <v>18</v>
      </c>
      <c r="S23" s="706">
        <f>F23</f>
        <v>100</v>
      </c>
      <c r="T23" s="705" t="s">
        <v>18</v>
      </c>
      <c r="U23" s="706">
        <f>H23</f>
        <v>100</v>
      </c>
      <c r="V23" s="705" t="s">
        <v>18</v>
      </c>
      <c r="W23" s="706">
        <f>J23</f>
        <v>100</v>
      </c>
      <c r="X23" s="1354"/>
      <c r="Y23" s="3755"/>
      <c r="Z23" s="1355" t="str">
        <f>Q23</f>
        <v>自然及人文环境</v>
      </c>
      <c r="AA23" s="1352">
        <f>D23/F23</f>
        <v>1</v>
      </c>
      <c r="AB23" s="1352">
        <f>D23/H23</f>
        <v>1</v>
      </c>
      <c r="AC23" s="1352">
        <f>D23/J23</f>
        <v>1</v>
      </c>
    </row>
    <row r="24" spans="1:29" ht="15">
      <c r="A24" s="379"/>
      <c r="B24" s="407"/>
      <c r="C24" s="398" t="s">
        <v>3619</v>
      </c>
      <c r="D24" s="399"/>
      <c r="E24" s="398" t="s">
        <v>3619</v>
      </c>
      <c r="F24" s="399"/>
      <c r="G24" s="398" t="s">
        <v>3619</v>
      </c>
      <c r="H24" s="399"/>
      <c r="I24" s="398" t="s">
        <v>3619</v>
      </c>
      <c r="J24" s="399"/>
      <c r="K24" s="1898"/>
      <c r="L24" s="2721"/>
      <c r="M24" s="2715"/>
      <c r="N24" s="2715"/>
      <c r="O24" s="2715"/>
      <c r="P24" s="3762"/>
      <c r="Q24" s="1351"/>
      <c r="R24" s="705"/>
      <c r="S24" s="706"/>
      <c r="T24" s="705"/>
      <c r="U24" s="706"/>
      <c r="V24" s="705"/>
      <c r="W24" s="706"/>
      <c r="X24" s="1354"/>
      <c r="Y24" s="3755"/>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5"/>
      <c r="Z25" s="1355" t="str">
        <f>Q25</f>
        <v>楼层-1</v>
      </c>
      <c r="AA25" s="1352">
        <f t="shared" ref="AA25:AA46" si="15">D25/F25</f>
        <v>1</v>
      </c>
      <c r="AB25" s="1352">
        <f t="shared" ref="AB25:AB46" si="16">D25/H25</f>
        <v>1</v>
      </c>
      <c r="AC25" s="1352">
        <f t="shared" ref="AC25:AC46" si="17">D25/J25</f>
        <v>1</v>
      </c>
    </row>
    <row r="26" spans="1:29" ht="15">
      <c r="A26" s="379"/>
      <c r="B26" s="375" t="s">
        <v>1693</v>
      </c>
      <c r="C26" s="411" t="s">
        <v>3494</v>
      </c>
      <c r="D26" s="386">
        <v>100</v>
      </c>
      <c r="E26" s="1905" t="s">
        <v>3494</v>
      </c>
      <c r="F26" s="386">
        <f>SUMIF(88:88,E26,89:89)-SUMIF(88:88,C26,89:89)+100</f>
        <v>100</v>
      </c>
      <c r="G26" s="1906" t="s">
        <v>3494</v>
      </c>
      <c r="H26" s="386">
        <f>SUMIF(88:88,G26,89:89)-SUMIF(88:88,C26,89:89)+100</f>
        <v>100</v>
      </c>
      <c r="I26" s="1906" t="s">
        <v>3494</v>
      </c>
      <c r="J26" s="386">
        <f>SUMIF(88:88,I26,89:89)-SUMIF(88:88,C26,89:89)+100</f>
        <v>100</v>
      </c>
      <c r="K26" s="377">
        <v>1.5</v>
      </c>
      <c r="L26" s="2721"/>
      <c r="M26" s="2715"/>
      <c r="N26" s="2715"/>
      <c r="O26" s="2715"/>
      <c r="P26" s="3762"/>
      <c r="Q26" s="1351" t="str">
        <f t="shared" si="11"/>
        <v>朝向</v>
      </c>
      <c r="R26" s="705" t="s">
        <v>18</v>
      </c>
      <c r="S26" s="706">
        <f t="shared" si="12"/>
        <v>100</v>
      </c>
      <c r="T26" s="705" t="s">
        <v>18</v>
      </c>
      <c r="U26" s="706">
        <f t="shared" si="13"/>
        <v>100</v>
      </c>
      <c r="V26" s="705" t="s">
        <v>18</v>
      </c>
      <c r="W26" s="706">
        <f t="shared" si="14"/>
        <v>100</v>
      </c>
      <c r="X26" s="1354"/>
      <c r="Y26" s="3755"/>
      <c r="Z26" s="1355" t="str">
        <f>Q26</f>
        <v>朝向</v>
      </c>
      <c r="AA26" s="1352">
        <f t="shared" si="15"/>
        <v>1</v>
      </c>
      <c r="AB26" s="1352">
        <f t="shared" si="16"/>
        <v>1</v>
      </c>
      <c r="AC26" s="1352">
        <f t="shared" si="17"/>
        <v>1</v>
      </c>
    </row>
    <row r="27" spans="1:29" s="108" customFormat="1" ht="15">
      <c r="A27" s="382"/>
      <c r="B27" s="3459" t="s">
        <v>3427</v>
      </c>
      <c r="C27" s="3525" t="s">
        <v>3618</v>
      </c>
      <c r="D27" s="413">
        <v>100</v>
      </c>
      <c r="E27" s="3525" t="s">
        <v>3618</v>
      </c>
      <c r="F27" s="413">
        <f>SUMIF(90:90,E27,91:91)-SUMIF(90:90,C27,91:91)+100</f>
        <v>100</v>
      </c>
      <c r="G27" s="3525" t="s">
        <v>3618</v>
      </c>
      <c r="H27" s="413">
        <f>SUMIF(90:90,G27,91:91)-SUMIF(90:90,C27,91:91)+100</f>
        <v>100</v>
      </c>
      <c r="I27" s="3525" t="s">
        <v>3618</v>
      </c>
      <c r="J27" s="413">
        <f>SUMIF(90:90,I27,91:91)-SUMIF(90:90,C27,91:91)+100</f>
        <v>100</v>
      </c>
      <c r="K27" s="1893"/>
      <c r="L27" s="2716"/>
      <c r="M27" s="2717"/>
      <c r="N27" s="2717"/>
      <c r="O27" s="2717"/>
      <c r="P27" s="3762"/>
      <c r="Q27" s="1342" t="str">
        <f t="shared" si="11"/>
        <v>道路级别</v>
      </c>
      <c r="R27" s="701" t="s">
        <v>18</v>
      </c>
      <c r="S27" s="702">
        <f t="shared" si="12"/>
        <v>100</v>
      </c>
      <c r="T27" s="701" t="s">
        <v>18</v>
      </c>
      <c r="U27" s="702">
        <f t="shared" si="13"/>
        <v>100</v>
      </c>
      <c r="V27" s="701" t="s">
        <v>18</v>
      </c>
      <c r="W27" s="702">
        <f t="shared" si="14"/>
        <v>100</v>
      </c>
      <c r="X27" s="703"/>
      <c r="Y27" s="3755"/>
      <c r="Z27" s="52" t="str">
        <f>Q27</f>
        <v>道路级别</v>
      </c>
      <c r="AA27" s="1352">
        <f t="shared" si="15"/>
        <v>1</v>
      </c>
      <c r="AB27" s="1352">
        <f t="shared" si="16"/>
        <v>1</v>
      </c>
      <c r="AC27" s="1352">
        <f t="shared" si="17"/>
        <v>1</v>
      </c>
    </row>
    <row r="28" spans="1:29" ht="27.75">
      <c r="A28" s="379"/>
      <c r="B28" s="3459" t="s">
        <v>3453</v>
      </c>
      <c r="C28" s="3526" t="s">
        <v>3621</v>
      </c>
      <c r="D28" s="386">
        <v>100</v>
      </c>
      <c r="E28" s="385" t="str">
        <f>市调!O10</f>
        <v>5/12(中楼层）</v>
      </c>
      <c r="F28" s="386">
        <f>SUMIF(92:92,E28,93:93)-SUMIF(92:92,C28,93:93)+100</f>
        <v>98</v>
      </c>
      <c r="G28" s="1907" t="str">
        <f>市调!O11</f>
        <v>8/12(高楼层）</v>
      </c>
      <c r="H28" s="386">
        <f>SUMIF(92:92,G28,93:93)-SUMIF(92:92,C28,93:93)+100</f>
        <v>100</v>
      </c>
      <c r="I28" s="385" t="s">
        <v>3622</v>
      </c>
      <c r="J28" s="386">
        <f>SUMIF(92:92,I28,93:93)-SUMIF(92:92,C28,93:93)+100</f>
        <v>100</v>
      </c>
      <c r="K28" s="1893"/>
      <c r="L28" s="2721"/>
      <c r="M28" s="2715"/>
      <c r="N28" s="2715"/>
      <c r="O28" s="2715"/>
      <c r="P28" s="3762"/>
      <c r="Q28" s="1351" t="str">
        <f t="shared" si="11"/>
        <v>楼层</v>
      </c>
      <c r="R28" s="705" t="s">
        <v>18</v>
      </c>
      <c r="S28" s="706">
        <f t="shared" si="12"/>
        <v>98</v>
      </c>
      <c r="T28" s="705" t="s">
        <v>18</v>
      </c>
      <c r="U28" s="706">
        <f t="shared" si="13"/>
        <v>100</v>
      </c>
      <c r="V28" s="705" t="s">
        <v>18</v>
      </c>
      <c r="W28" s="706">
        <f t="shared" si="14"/>
        <v>100</v>
      </c>
      <c r="X28" s="1354"/>
      <c r="Y28" s="3755"/>
      <c r="Z28" s="1355" t="str">
        <f t="shared" ref="Z28:Z46" si="18">Q28</f>
        <v>楼层</v>
      </c>
      <c r="AA28" s="1352">
        <f t="shared" si="15"/>
        <v>1.0204081632653061</v>
      </c>
      <c r="AB28" s="1352">
        <f t="shared" si="16"/>
        <v>1</v>
      </c>
      <c r="AC28" s="1352">
        <f t="shared" si="17"/>
        <v>1</v>
      </c>
    </row>
    <row r="29" spans="1:29" ht="15" hidden="1">
      <c r="A29" s="379"/>
      <c r="B29" s="3459" t="s">
        <v>3476</v>
      </c>
      <c r="C29" s="3492" t="s">
        <v>3477</v>
      </c>
      <c r="D29" s="386">
        <v>100</v>
      </c>
      <c r="E29" s="3492" t="s">
        <v>3478</v>
      </c>
      <c r="F29" s="386">
        <f>SUMIF(94:94,E29,95:95)-SUMIF(94:94,C29,95:95)+100</f>
        <v>100</v>
      </c>
      <c r="G29" s="3493" t="s">
        <v>3479</v>
      </c>
      <c r="H29" s="386">
        <f>SUMIF(94:94,G29,95:95)-SUMIF(94:94,C29,95:95)+100</f>
        <v>100</v>
      </c>
      <c r="I29" s="3492" t="s">
        <v>3479</v>
      </c>
      <c r="J29" s="386">
        <f>SUMIF(94:94,I29,95:95)-SUMIF(94:94,C29,95:95)+100</f>
        <v>100</v>
      </c>
      <c r="K29" s="1893"/>
      <c r="L29" s="2721"/>
      <c r="M29" s="2715"/>
      <c r="N29" s="2715"/>
      <c r="O29" s="2715"/>
      <c r="P29" s="3762"/>
      <c r="Q29" s="1351" t="str">
        <f t="shared" si="11"/>
        <v>采光</v>
      </c>
      <c r="R29" s="705" t="s">
        <v>18</v>
      </c>
      <c r="S29" s="706">
        <f t="shared" si="12"/>
        <v>100</v>
      </c>
      <c r="T29" s="705" t="s">
        <v>18</v>
      </c>
      <c r="U29" s="706">
        <f t="shared" si="13"/>
        <v>100</v>
      </c>
      <c r="V29" s="705" t="s">
        <v>18</v>
      </c>
      <c r="W29" s="706">
        <f t="shared" si="14"/>
        <v>100</v>
      </c>
      <c r="X29" s="1354"/>
      <c r="Y29" s="3755"/>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2"/>
      <c r="Q30" s="1351">
        <f t="shared" si="11"/>
        <v>111</v>
      </c>
      <c r="R30" s="705" t="s">
        <v>18</v>
      </c>
      <c r="S30" s="706">
        <f t="shared" si="12"/>
        <v>100</v>
      </c>
      <c r="T30" s="705" t="s">
        <v>18</v>
      </c>
      <c r="U30" s="706">
        <f t="shared" si="13"/>
        <v>100</v>
      </c>
      <c r="V30" s="705" t="s">
        <v>18</v>
      </c>
      <c r="W30" s="706">
        <f t="shared" si="14"/>
        <v>100</v>
      </c>
      <c r="X30" s="1354"/>
      <c r="Y30" s="375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2"/>
      <c r="Q31" s="1351">
        <f t="shared" si="11"/>
        <v>111</v>
      </c>
      <c r="R31" s="705" t="s">
        <v>18</v>
      </c>
      <c r="S31" s="706">
        <f t="shared" si="12"/>
        <v>100</v>
      </c>
      <c r="T31" s="705" t="s">
        <v>18</v>
      </c>
      <c r="U31" s="706">
        <f t="shared" si="13"/>
        <v>100</v>
      </c>
      <c r="V31" s="705" t="s">
        <v>18</v>
      </c>
      <c r="W31" s="706">
        <f t="shared" si="14"/>
        <v>100</v>
      </c>
      <c r="X31" s="1354"/>
      <c r="Y31" s="3755"/>
      <c r="Z31" s="1355">
        <f t="shared" si="18"/>
        <v>111</v>
      </c>
      <c r="AA31" s="1352">
        <f t="shared" si="15"/>
        <v>1</v>
      </c>
      <c r="AB31" s="1352">
        <f t="shared" si="16"/>
        <v>1</v>
      </c>
      <c r="AC31" s="1352">
        <f t="shared" si="17"/>
        <v>1</v>
      </c>
    </row>
    <row r="32" spans="1:29" ht="15">
      <c r="A32" s="391" t="s">
        <v>1694</v>
      </c>
      <c r="B32" s="63" t="s">
        <v>1695</v>
      </c>
      <c r="C32" s="1909" t="s">
        <v>3429</v>
      </c>
      <c r="D32" s="418">
        <v>100</v>
      </c>
      <c r="E32" s="1910" t="s">
        <v>3429</v>
      </c>
      <c r="F32" s="412">
        <f>SUMIF(100:100,E32,101:101)-SUMIF(100:100,C32,101:101)+100</f>
        <v>100</v>
      </c>
      <c r="G32" s="1909" t="s">
        <v>3429</v>
      </c>
      <c r="H32" s="418">
        <f>SUMIF(100:100,G32,101:101)-SUMIF(100:100,C32,101:101)+100</f>
        <v>100</v>
      </c>
      <c r="I32" s="1910" t="s">
        <v>3429</v>
      </c>
      <c r="J32" s="386">
        <f>SUMIF(100:100,I32,101:101)-SUMIF(100:100,C32,101:101)+100</f>
        <v>100</v>
      </c>
      <c r="K32" s="377">
        <v>2</v>
      </c>
      <c r="L32" s="2721"/>
      <c r="M32" s="2715"/>
      <c r="N32" s="2715"/>
      <c r="O32" s="2715"/>
      <c r="P32" s="3756" t="s">
        <v>1696</v>
      </c>
      <c r="Q32" s="1351" t="str">
        <f t="shared" si="11"/>
        <v>建筑类型</v>
      </c>
      <c r="R32" s="705" t="s">
        <v>18</v>
      </c>
      <c r="S32" s="706">
        <f t="shared" si="12"/>
        <v>100</v>
      </c>
      <c r="T32" s="705" t="s">
        <v>18</v>
      </c>
      <c r="U32" s="706">
        <f t="shared" si="13"/>
        <v>100</v>
      </c>
      <c r="V32" s="705" t="s">
        <v>18</v>
      </c>
      <c r="W32" s="706">
        <f t="shared" si="14"/>
        <v>100</v>
      </c>
      <c r="X32" s="1354"/>
      <c r="Y32" s="3759"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180.33</v>
      </c>
      <c r="D33" s="127">
        <v>100</v>
      </c>
      <c r="E33" s="381">
        <f>市调!D10</f>
        <v>213</v>
      </c>
      <c r="F33" s="376">
        <f>LOOKUP(E33,103:103,104:104)-LOOKUP(C33,103:103,104:104)+100</f>
        <v>98</v>
      </c>
      <c r="G33" s="380">
        <f>市调!D11</f>
        <v>179.6</v>
      </c>
      <c r="H33" s="127">
        <f>LOOKUP(G33,103:103,104:104)-LOOKUP(C33,103:103,104:104)+100</f>
        <v>100</v>
      </c>
      <c r="I33" s="381">
        <f>市调!D19</f>
        <v>168</v>
      </c>
      <c r="J33" s="127">
        <f>LOOKUP(I33,103:103,104:104)-LOOKUP(C33,103:103,104:104)+100</f>
        <v>100</v>
      </c>
      <c r="K33" s="1893"/>
      <c r="L33" s="2720"/>
      <c r="M33" s="2722"/>
      <c r="N33" s="2722"/>
      <c r="O33" s="2722"/>
      <c r="P33" s="3757"/>
      <c r="Q33" s="707" t="str">
        <f t="shared" si="11"/>
        <v>项目建筑规模</v>
      </c>
      <c r="R33" s="708" t="s">
        <v>18</v>
      </c>
      <c r="S33" s="709">
        <f t="shared" si="12"/>
        <v>98</v>
      </c>
      <c r="T33" s="708" t="s">
        <v>18</v>
      </c>
      <c r="U33" s="709">
        <f t="shared" si="13"/>
        <v>100</v>
      </c>
      <c r="V33" s="708" t="s">
        <v>18</v>
      </c>
      <c r="W33" s="709">
        <f t="shared" si="14"/>
        <v>100</v>
      </c>
      <c r="X33" s="710"/>
      <c r="Y33" s="3759"/>
      <c r="Z33" s="711" t="str">
        <f t="shared" si="18"/>
        <v>项目建筑规模</v>
      </c>
      <c r="AA33" s="1352">
        <f t="shared" si="15"/>
        <v>1.0204081632653061</v>
      </c>
      <c r="AB33" s="1352">
        <f t="shared" si="16"/>
        <v>1</v>
      </c>
      <c r="AC33" s="1352">
        <f t="shared" si="17"/>
        <v>1</v>
      </c>
    </row>
    <row r="34" spans="1:29" ht="15">
      <c r="A34" s="423"/>
      <c r="B34" s="375" t="s">
        <v>1698</v>
      </c>
      <c r="C34" s="1911" t="s">
        <v>3434</v>
      </c>
      <c r="D34" s="386">
        <v>100</v>
      </c>
      <c r="E34" s="1912" t="s">
        <v>3434</v>
      </c>
      <c r="F34" s="412">
        <f>SUMIF(105:105,E34,106:106)-SUMIF(105:105,C34,106:106)+100</f>
        <v>100</v>
      </c>
      <c r="G34" s="1911" t="s">
        <v>3434</v>
      </c>
      <c r="H34" s="386">
        <f>SUMIF(105:105,G34,106:106)-SUMIF(105:105,C34,106:106)+100</f>
        <v>100</v>
      </c>
      <c r="I34" s="1912" t="s">
        <v>3434</v>
      </c>
      <c r="J34" s="386">
        <f>SUMIF(105:105,I34,106:106)-SUMIF(105:105,C34,106:106)+100</f>
        <v>100</v>
      </c>
      <c r="K34" s="377"/>
      <c r="L34" s="2721"/>
      <c r="M34" s="2715"/>
      <c r="N34" s="2715"/>
      <c r="O34" s="2715"/>
      <c r="P34" s="3757"/>
      <c r="Q34" s="1351" t="str">
        <f t="shared" si="11"/>
        <v>建筑结构</v>
      </c>
      <c r="R34" s="705" t="s">
        <v>18</v>
      </c>
      <c r="S34" s="706">
        <f t="shared" si="12"/>
        <v>100</v>
      </c>
      <c r="T34" s="705" t="s">
        <v>18</v>
      </c>
      <c r="U34" s="706">
        <f t="shared" si="13"/>
        <v>100</v>
      </c>
      <c r="V34" s="705" t="s">
        <v>18</v>
      </c>
      <c r="W34" s="706">
        <f t="shared" si="14"/>
        <v>100</v>
      </c>
      <c r="X34" s="1354"/>
      <c r="Y34" s="3759"/>
      <c r="Z34" s="1355" t="str">
        <f t="shared" si="18"/>
        <v>建筑结构</v>
      </c>
      <c r="AA34" s="1352">
        <f t="shared" si="15"/>
        <v>1</v>
      </c>
      <c r="AB34" s="1352">
        <f t="shared" si="16"/>
        <v>1</v>
      </c>
      <c r="AC34" s="1352">
        <f t="shared" si="17"/>
        <v>1</v>
      </c>
    </row>
    <row r="35" spans="1:29" ht="15">
      <c r="A35" s="423"/>
      <c r="B35" s="375" t="s">
        <v>1699</v>
      </c>
      <c r="C35" s="1905" t="s">
        <v>3413</v>
      </c>
      <c r="D35" s="386">
        <v>100</v>
      </c>
      <c r="E35" s="1905" t="s">
        <v>3413</v>
      </c>
      <c r="F35" s="412">
        <f>SUMIF(107:107,E35,108:108)-SUMIF(107:107,C35,108:108)+100</f>
        <v>100</v>
      </c>
      <c r="G35" s="1905" t="s">
        <v>3413</v>
      </c>
      <c r="H35" s="386">
        <f>SUMIF(107:107,G35,108:108)-SUMIF(107:107,C35,108:108)+100</f>
        <v>100</v>
      </c>
      <c r="I35" s="1905" t="s">
        <v>3413</v>
      </c>
      <c r="J35" s="386">
        <f>SUMIF(107:107,I35,108:108)-SUMIF(107:107,C35,108:108)+100</f>
        <v>100</v>
      </c>
      <c r="K35" s="377"/>
      <c r="L35" s="2721"/>
      <c r="M35" s="2715"/>
      <c r="N35" s="2715"/>
      <c r="O35" s="2715"/>
      <c r="P35" s="3757"/>
      <c r="Q35" s="1351" t="str">
        <f t="shared" si="11"/>
        <v>建筑品质</v>
      </c>
      <c r="R35" s="705" t="s">
        <v>18</v>
      </c>
      <c r="S35" s="706">
        <f t="shared" si="12"/>
        <v>100</v>
      </c>
      <c r="T35" s="705" t="s">
        <v>18</v>
      </c>
      <c r="U35" s="706">
        <f t="shared" si="13"/>
        <v>100</v>
      </c>
      <c r="V35" s="705" t="s">
        <v>18</v>
      </c>
      <c r="W35" s="706">
        <f t="shared" si="14"/>
        <v>100</v>
      </c>
      <c r="X35" s="1354"/>
      <c r="Y35" s="3759"/>
      <c r="Z35" s="1355" t="str">
        <f t="shared" si="18"/>
        <v>建筑品质</v>
      </c>
      <c r="AA35" s="1352">
        <f t="shared" si="15"/>
        <v>1</v>
      </c>
      <c r="AB35" s="1352">
        <f t="shared" si="16"/>
        <v>1</v>
      </c>
      <c r="AC35" s="1352">
        <f t="shared" si="17"/>
        <v>1</v>
      </c>
    </row>
    <row r="36" spans="1:29" ht="15">
      <c r="A36" s="423"/>
      <c r="B36" s="375" t="s">
        <v>1700</v>
      </c>
      <c r="C36" s="1905" t="s">
        <v>3438</v>
      </c>
      <c r="D36" s="386">
        <v>100</v>
      </c>
      <c r="E36" s="1905" t="s">
        <v>3438</v>
      </c>
      <c r="F36" s="412">
        <f>SUMIF(109:109,E36,110:110)-SUMIF(109:109,C36,110:110)+100</f>
        <v>100</v>
      </c>
      <c r="G36" s="1905" t="s">
        <v>3438</v>
      </c>
      <c r="H36" s="386">
        <f>SUMIF(109:109,G36,110:110)-SUMIF(109:109,C36,110:110)+100</f>
        <v>100</v>
      </c>
      <c r="I36" s="1905" t="s">
        <v>3438</v>
      </c>
      <c r="J36" s="386">
        <f>SUMIF(109:109,I36,110:110)-SUMIF(109:109,C36,110:110)+100</f>
        <v>100</v>
      </c>
      <c r="K36" s="377"/>
      <c r="L36" s="2721"/>
      <c r="M36" s="2715"/>
      <c r="N36" s="2715"/>
      <c r="O36" s="2715"/>
      <c r="P36" s="3757"/>
      <c r="Q36" s="1351" t="str">
        <f t="shared" si="11"/>
        <v>公共部分装修</v>
      </c>
      <c r="R36" s="705" t="s">
        <v>18</v>
      </c>
      <c r="S36" s="706">
        <f t="shared" si="12"/>
        <v>100</v>
      </c>
      <c r="T36" s="705" t="s">
        <v>18</v>
      </c>
      <c r="U36" s="706">
        <f t="shared" si="13"/>
        <v>100</v>
      </c>
      <c r="V36" s="705" t="s">
        <v>18</v>
      </c>
      <c r="W36" s="706">
        <f t="shared" si="14"/>
        <v>100</v>
      </c>
      <c r="X36" s="1354"/>
      <c r="Y36" s="3759"/>
      <c r="Z36" s="1355" t="str">
        <f t="shared" si="18"/>
        <v>公共部分装修</v>
      </c>
      <c r="AA36" s="1352">
        <f t="shared" si="15"/>
        <v>1</v>
      </c>
      <c r="AB36" s="1352">
        <f t="shared" si="16"/>
        <v>1</v>
      </c>
      <c r="AC36" s="1352">
        <f t="shared" si="17"/>
        <v>1</v>
      </c>
    </row>
    <row r="37" spans="1:29" s="108" customFormat="1" ht="15">
      <c r="A37" s="424"/>
      <c r="B37" s="375" t="s">
        <v>1701</v>
      </c>
      <c r="C37" s="425">
        <f>'数据-取费表'!N6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6"/>
      <c r="M37" s="2717"/>
      <c r="N37" s="2717"/>
      <c r="O37" s="2717"/>
      <c r="P37" s="3757"/>
      <c r="Q37" s="1342" t="str">
        <f t="shared" si="11"/>
        <v>成新度</v>
      </c>
      <c r="R37" s="701" t="s">
        <v>18</v>
      </c>
      <c r="S37" s="702">
        <f t="shared" si="12"/>
        <v>100</v>
      </c>
      <c r="T37" s="701" t="s">
        <v>18</v>
      </c>
      <c r="U37" s="702">
        <f t="shared" si="13"/>
        <v>100</v>
      </c>
      <c r="V37" s="701" t="s">
        <v>18</v>
      </c>
      <c r="W37" s="702">
        <f t="shared" si="14"/>
        <v>100</v>
      </c>
      <c r="X37" s="703"/>
      <c r="Y37" s="3759"/>
      <c r="Z37" s="52" t="str">
        <f t="shared" si="18"/>
        <v>成新度</v>
      </c>
      <c r="AA37" s="704">
        <f t="shared" si="15"/>
        <v>1</v>
      </c>
      <c r="AB37" s="704">
        <f t="shared" si="16"/>
        <v>1</v>
      </c>
      <c r="AC37" s="704">
        <f t="shared" si="17"/>
        <v>1</v>
      </c>
    </row>
    <row r="38" spans="1:29" ht="15">
      <c r="A38" s="423"/>
      <c r="B38" s="375" t="s">
        <v>1702</v>
      </c>
      <c r="C38" s="1905" t="s">
        <v>3443</v>
      </c>
      <c r="D38" s="386">
        <v>100</v>
      </c>
      <c r="E38" s="1905" t="s">
        <v>3443</v>
      </c>
      <c r="F38" s="412">
        <f>SUMIF(114:114,E38,115:115)-SUMIF(114:114,C38,115:115)+100</f>
        <v>100</v>
      </c>
      <c r="G38" s="1905" t="s">
        <v>3443</v>
      </c>
      <c r="H38" s="386">
        <f>SUMIF(114:114,G38,115:115)-SUMIF(114:114,C38,115:115)+100</f>
        <v>100</v>
      </c>
      <c r="I38" s="1905" t="s">
        <v>3443</v>
      </c>
      <c r="J38" s="386">
        <f>SUMIF(114:114,I38,115:115)-SUMIF(114:114,C38,115:115)+100</f>
        <v>100</v>
      </c>
      <c r="K38" s="377"/>
      <c r="L38" s="2721"/>
      <c r="M38" s="2715"/>
      <c r="N38" s="2715"/>
      <c r="O38" s="2715"/>
      <c r="P38" s="3757" t="s">
        <v>1696</v>
      </c>
      <c r="Q38" s="1351" t="str">
        <f t="shared" si="11"/>
        <v>物业管理</v>
      </c>
      <c r="R38" s="705" t="s">
        <v>18</v>
      </c>
      <c r="S38" s="706">
        <f t="shared" si="12"/>
        <v>100</v>
      </c>
      <c r="T38" s="705" t="s">
        <v>18</v>
      </c>
      <c r="U38" s="706">
        <f t="shared" si="13"/>
        <v>100</v>
      </c>
      <c r="V38" s="705" t="s">
        <v>18</v>
      </c>
      <c r="W38" s="706">
        <f t="shared" si="14"/>
        <v>100</v>
      </c>
      <c r="X38" s="1354"/>
      <c r="Y38" s="375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7"/>
      <c r="Q39" s="1351" t="str">
        <f t="shared" si="11"/>
        <v>市政基础设施</v>
      </c>
      <c r="R39" s="705" t="s">
        <v>18</v>
      </c>
      <c r="S39" s="706">
        <f t="shared" si="12"/>
        <v>100</v>
      </c>
      <c r="T39" s="705" t="s">
        <v>18</v>
      </c>
      <c r="U39" s="706">
        <f t="shared" si="13"/>
        <v>100</v>
      </c>
      <c r="V39" s="705" t="s">
        <v>18</v>
      </c>
      <c r="W39" s="706">
        <f t="shared" si="14"/>
        <v>100</v>
      </c>
      <c r="X39" s="1354"/>
      <c r="Y39" s="3759"/>
      <c r="Z39" s="1355" t="str">
        <f t="shared" si="18"/>
        <v>市政基础设施</v>
      </c>
      <c r="AA39" s="1352">
        <f t="shared" si="15"/>
        <v>1</v>
      </c>
      <c r="AB39" s="1352">
        <f t="shared" si="16"/>
        <v>1</v>
      </c>
      <c r="AC39" s="1352">
        <f t="shared" si="17"/>
        <v>1</v>
      </c>
    </row>
    <row r="40" spans="1:29" ht="15">
      <c r="A40" s="423"/>
      <c r="B40" s="375" t="s">
        <v>1704</v>
      </c>
      <c r="C40" s="1905" t="s">
        <v>3452</v>
      </c>
      <c r="D40" s="386">
        <v>100</v>
      </c>
      <c r="E40" s="1906" t="s">
        <v>3452</v>
      </c>
      <c r="F40" s="412">
        <f>SUMIF(118:118,E40,119:119)-SUMIF(118:118,C40,119:119)+100</f>
        <v>100</v>
      </c>
      <c r="G40" s="1905" t="s">
        <v>3452</v>
      </c>
      <c r="H40" s="386">
        <f>SUMIF(118:118,G40,119:119)-SUMIF(118:118,C40,119:119)+100</f>
        <v>100</v>
      </c>
      <c r="I40" s="1906" t="s">
        <v>3452</v>
      </c>
      <c r="J40" s="386">
        <f>SUMIF(118:118,I40,119:119)-SUMIF(118:118,C40,119:119)+100</f>
        <v>100</v>
      </c>
      <c r="K40" s="377">
        <v>-2</v>
      </c>
      <c r="L40" s="2721"/>
      <c r="M40" s="2715"/>
      <c r="N40" s="2715"/>
      <c r="O40" s="2715"/>
      <c r="P40" s="3757"/>
      <c r="Q40" s="1351" t="str">
        <f t="shared" si="11"/>
        <v>房型</v>
      </c>
      <c r="R40" s="705" t="s">
        <v>18</v>
      </c>
      <c r="S40" s="706">
        <f t="shared" si="12"/>
        <v>100</v>
      </c>
      <c r="T40" s="705" t="s">
        <v>18</v>
      </c>
      <c r="U40" s="706">
        <f t="shared" si="13"/>
        <v>100</v>
      </c>
      <c r="V40" s="705" t="s">
        <v>18</v>
      </c>
      <c r="W40" s="706">
        <f t="shared" si="14"/>
        <v>100</v>
      </c>
      <c r="X40" s="1354"/>
      <c r="Y40" s="3759"/>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7"/>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2">
        <f t="shared" si="15"/>
        <v>1</v>
      </c>
      <c r="AB41" s="1352">
        <f t="shared" si="16"/>
        <v>1</v>
      </c>
      <c r="AC41" s="1352">
        <f t="shared" si="17"/>
        <v>1</v>
      </c>
    </row>
    <row r="42" spans="1:29" ht="15">
      <c r="A42" s="423"/>
      <c r="B42" s="375" t="s">
        <v>1706</v>
      </c>
      <c r="C42" s="1905" t="s">
        <v>3439</v>
      </c>
      <c r="D42" s="386">
        <v>100</v>
      </c>
      <c r="E42" s="1905" t="s">
        <v>3439</v>
      </c>
      <c r="F42" s="412">
        <f>SUMIF(122:122,E42,123:123)-SUMIF(122:122,C42,123:123)+100</f>
        <v>100</v>
      </c>
      <c r="G42" s="1905" t="s">
        <v>3620</v>
      </c>
      <c r="H42" s="386">
        <f>SUMIF(122:122,G42,123:123)-SUMIF(122:122,C42,123:123)+100</f>
        <v>97</v>
      </c>
      <c r="I42" s="1905" t="s">
        <v>3439</v>
      </c>
      <c r="J42" s="386">
        <f>SUMIF(122:122,I42,123:123)-SUMIF(122:122,C42,123:123)+100</f>
        <v>100</v>
      </c>
      <c r="K42" s="377">
        <v>3</v>
      </c>
      <c r="L42" s="2721"/>
      <c r="M42" s="2715"/>
      <c r="N42" s="2715"/>
      <c r="O42" s="2715"/>
      <c r="P42" s="3757"/>
      <c r="Q42" s="1351" t="str">
        <f t="shared" si="11"/>
        <v>内部装修</v>
      </c>
      <c r="R42" s="705" t="s">
        <v>18</v>
      </c>
      <c r="S42" s="706">
        <f t="shared" si="12"/>
        <v>100</v>
      </c>
      <c r="T42" s="705" t="s">
        <v>18</v>
      </c>
      <c r="U42" s="706">
        <f t="shared" si="13"/>
        <v>97</v>
      </c>
      <c r="V42" s="705" t="s">
        <v>18</v>
      </c>
      <c r="W42" s="706">
        <f t="shared" si="14"/>
        <v>100</v>
      </c>
      <c r="X42" s="1354"/>
      <c r="Y42" s="3759"/>
      <c r="Z42" s="1355" t="str">
        <f t="shared" si="18"/>
        <v>内部装修</v>
      </c>
      <c r="AA42" s="1352">
        <f t="shared" si="15"/>
        <v>1</v>
      </c>
      <c r="AB42" s="1352">
        <f t="shared" si="16"/>
        <v>1.0309278350515463</v>
      </c>
      <c r="AC42" s="1352">
        <f t="shared" si="17"/>
        <v>1</v>
      </c>
    </row>
    <row r="43" spans="1:29" ht="28.5">
      <c r="A43" s="423"/>
      <c r="B43" s="375" t="s">
        <v>1707</v>
      </c>
      <c r="C43" s="1905" t="s">
        <v>3413</v>
      </c>
      <c r="D43" s="386">
        <v>100</v>
      </c>
      <c r="E43" s="1905" t="s">
        <v>3413</v>
      </c>
      <c r="F43" s="412">
        <f>SUMIF(124:124,E43,125:125)-SUMIF(124:124,C43,125:125)+100</f>
        <v>100</v>
      </c>
      <c r="G43" s="1905" t="s">
        <v>3413</v>
      </c>
      <c r="H43" s="386">
        <f>SUMIF(124:124,G43,125:125)-SUMIF(124:124,C43,125:125)+100</f>
        <v>100</v>
      </c>
      <c r="I43" s="1906" t="s">
        <v>3413</v>
      </c>
      <c r="J43" s="386">
        <f>SUMIF(124:124,I43,125:125)-SUMIF(124:124,C43,125:125)+100</f>
        <v>100</v>
      </c>
      <c r="K43" s="377">
        <v>0</v>
      </c>
      <c r="L43" s="2721"/>
      <c r="M43" s="2715"/>
      <c r="N43" s="2715"/>
      <c r="O43" s="2715"/>
      <c r="P43" s="3757"/>
      <c r="Q43" s="1351" t="str">
        <f t="shared" si="11"/>
        <v>内部装修维护情况</v>
      </c>
      <c r="R43" s="705" t="s">
        <v>18</v>
      </c>
      <c r="S43" s="706">
        <f t="shared" si="12"/>
        <v>100</v>
      </c>
      <c r="T43" s="705" t="s">
        <v>18</v>
      </c>
      <c r="U43" s="706">
        <f t="shared" si="13"/>
        <v>100</v>
      </c>
      <c r="V43" s="705" t="s">
        <v>18</v>
      </c>
      <c r="W43" s="706">
        <f t="shared" si="14"/>
        <v>100</v>
      </c>
      <c r="X43" s="1354"/>
      <c r="Y43" s="3759"/>
      <c r="Z43" s="1355" t="str">
        <f t="shared" si="18"/>
        <v>内部装修维护情况</v>
      </c>
      <c r="AA43" s="1352">
        <f t="shared" si="15"/>
        <v>1</v>
      </c>
      <c r="AB43" s="1352">
        <f t="shared" si="16"/>
        <v>1</v>
      </c>
      <c r="AC43" s="1352">
        <f t="shared" si="17"/>
        <v>1</v>
      </c>
    </row>
    <row r="44" spans="1:29" s="108" customFormat="1" ht="15">
      <c r="A44" s="424"/>
      <c r="B44" s="3459" t="s">
        <v>3415</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3"/>
      <c r="L44" s="2716"/>
      <c r="M44" s="2717"/>
      <c r="N44" s="2717"/>
      <c r="O44" s="2717"/>
      <c r="P44" s="3757"/>
      <c r="Q44" s="1342" t="str">
        <f t="shared" si="11"/>
        <v>建成年份</v>
      </c>
      <c r="R44" s="701" t="s">
        <v>18</v>
      </c>
      <c r="S44" s="702">
        <f t="shared" si="12"/>
        <v>100</v>
      </c>
      <c r="T44" s="701" t="s">
        <v>18</v>
      </c>
      <c r="U44" s="702">
        <f t="shared" si="13"/>
        <v>100</v>
      </c>
      <c r="V44" s="701" t="s">
        <v>18</v>
      </c>
      <c r="W44" s="702">
        <f t="shared" si="14"/>
        <v>100</v>
      </c>
      <c r="X44" s="703"/>
      <c r="Y44" s="3759"/>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7"/>
      <c r="Q45" s="1351">
        <f t="shared" si="11"/>
        <v>111</v>
      </c>
      <c r="R45" s="705" t="s">
        <v>18</v>
      </c>
      <c r="S45" s="706">
        <f t="shared" si="12"/>
        <v>100</v>
      </c>
      <c r="T45" s="705" t="s">
        <v>18</v>
      </c>
      <c r="U45" s="706">
        <f t="shared" si="13"/>
        <v>100</v>
      </c>
      <c r="V45" s="705" t="s">
        <v>18</v>
      </c>
      <c r="W45" s="706">
        <f t="shared" si="14"/>
        <v>100</v>
      </c>
      <c r="X45" s="1354"/>
      <c r="Y45" s="375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8"/>
      <c r="Q46" s="1351">
        <f t="shared" si="11"/>
        <v>111</v>
      </c>
      <c r="R46" s="705" t="s">
        <v>17</v>
      </c>
      <c r="S46" s="706">
        <f t="shared" si="12"/>
        <v>100</v>
      </c>
      <c r="T46" s="705" t="s">
        <v>17</v>
      </c>
      <c r="U46" s="706">
        <f t="shared" si="13"/>
        <v>100</v>
      </c>
      <c r="V46" s="705" t="s">
        <v>17</v>
      </c>
      <c r="W46" s="706">
        <f t="shared" si="14"/>
        <v>100</v>
      </c>
      <c r="X46" s="1354"/>
      <c r="Y46" s="3760"/>
      <c r="Z46" s="1355">
        <f t="shared" si="18"/>
        <v>111</v>
      </c>
      <c r="AA46" s="1352">
        <f t="shared" si="15"/>
        <v>1</v>
      </c>
      <c r="AB46" s="1352">
        <f t="shared" si="16"/>
        <v>1</v>
      </c>
      <c r="AC46" s="1352">
        <f t="shared" si="17"/>
        <v>1</v>
      </c>
    </row>
    <row r="47" spans="1:29" ht="15">
      <c r="A47" s="430" t="s">
        <v>1708</v>
      </c>
      <c r="B47" s="431"/>
      <c r="C47" s="1154" t="s">
        <v>16</v>
      </c>
      <c r="D47" s="1155"/>
      <c r="E47" s="3527">
        <f>市调!L10</f>
        <v>140845</v>
      </c>
      <c r="F47" s="3528"/>
      <c r="G47" s="3529">
        <f>市调!L11</f>
        <v>128619</v>
      </c>
      <c r="H47" s="1159"/>
      <c r="I47" s="1156">
        <f>市调!L19</f>
        <v>146429</v>
      </c>
      <c r="J47" s="1159"/>
      <c r="K47" s="1913"/>
      <c r="L47" s="2723"/>
      <c r="M47" s="2724"/>
      <c r="N47" s="2715"/>
      <c r="O47" s="2724"/>
      <c r="P47" s="3752" t="str">
        <f>A47</f>
        <v>成交单价（元/平方米）</v>
      </c>
      <c r="Q47" s="3752"/>
      <c r="R47" s="3753">
        <f>E47</f>
        <v>140845</v>
      </c>
      <c r="S47" s="3753"/>
      <c r="T47" s="3753">
        <f>G47</f>
        <v>128619</v>
      </c>
      <c r="U47" s="3753"/>
      <c r="V47" s="3753">
        <f>I47</f>
        <v>146429</v>
      </c>
      <c r="W47" s="3753"/>
      <c r="X47" s="690"/>
      <c r="Y47" s="712"/>
      <c r="Z47" s="690"/>
      <c r="AA47" s="690"/>
      <c r="AB47" s="690"/>
      <c r="AC47" s="690"/>
    </row>
    <row r="48" spans="1:29" ht="15.75" thickBot="1">
      <c r="A48" s="437" t="s">
        <v>1709</v>
      </c>
      <c r="B48" s="438"/>
      <c r="C48" s="1160">
        <f>R49</f>
        <v>140014</v>
      </c>
      <c r="D48" s="2316" t="s">
        <v>2138</v>
      </c>
      <c r="E48" s="1161">
        <f>R48</f>
        <v>145200</v>
      </c>
      <c r="F48" s="2317"/>
      <c r="G48" s="1160">
        <f>T48</f>
        <v>131284</v>
      </c>
      <c r="H48" s="2317"/>
      <c r="I48" s="1161">
        <f>V48</f>
        <v>143558</v>
      </c>
      <c r="J48" s="2317"/>
      <c r="K48" s="2318">
        <f>F48+H48+J48</f>
        <v>0</v>
      </c>
      <c r="L48" s="2723"/>
      <c r="M48" s="2724"/>
      <c r="N48" s="2724"/>
      <c r="O48" s="2724"/>
      <c r="P48" s="3752" t="str">
        <f>A48</f>
        <v>比较价值（元/平方米）</v>
      </c>
      <c r="Q48" s="3752"/>
      <c r="R48" s="3753">
        <f>IF(F1="售价",ROUND(PRODUCT(R47,AA7:AA46),0),ROUND(PRODUCT(R47,AA7:AA46),1))</f>
        <v>145200</v>
      </c>
      <c r="S48" s="3753"/>
      <c r="T48" s="3753">
        <f>IF(F1="售价",ROUND(PRODUCT(T47,AB7:AB46),0),ROUND(PRODUCT(T47,AB7:AB46),1))</f>
        <v>131284</v>
      </c>
      <c r="U48" s="3753"/>
      <c r="V48" s="3753">
        <f>IF(F1="售价",ROUND(PRODUCT(V47,AC7:AC46),0),ROUND(PRODUCT(V47,AC7:AC46),1))</f>
        <v>143558</v>
      </c>
      <c r="W48" s="3753"/>
      <c r="X48" s="690"/>
      <c r="Y48" s="690"/>
      <c r="Z48" s="690"/>
      <c r="AA48" s="690"/>
      <c r="AB48" s="690"/>
      <c r="AC48" s="690"/>
    </row>
    <row r="49" spans="1:29" ht="15.75" thickBot="1">
      <c r="A49" s="441" t="s">
        <v>1710</v>
      </c>
      <c r="B49" s="442"/>
      <c r="C49" s="1162">
        <f>R49</f>
        <v>140014</v>
      </c>
      <c r="D49" s="1163"/>
      <c r="E49" s="1163"/>
      <c r="F49" s="1163"/>
      <c r="G49" s="1163"/>
      <c r="H49" s="1163"/>
      <c r="I49" s="1163"/>
      <c r="J49" s="1163"/>
      <c r="K49" s="1914"/>
      <c r="L49" s="2723"/>
      <c r="M49" s="2724"/>
      <c r="N49" s="2724"/>
      <c r="O49" s="2724"/>
      <c r="P49" s="3749" t="str">
        <f>A49</f>
        <v>估价对象XX用房的比较价值（楼面单价，元/平方米）</v>
      </c>
      <c r="Q49" s="3750"/>
      <c r="R49" s="3751">
        <f>IF(F1="售价",ROUND(IF(D48="简单平均",AVERAGE(R48:V48),R48*F48+T48*H48+V48*J48),0),ROUND(IF(D48="简单平均",AVERAGE(R48:V48),R48*F48+T48*H48+V48*J48),1))</f>
        <v>140014</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3.0920515460257647E-2</v>
      </c>
      <c r="F52" s="449" t="str">
        <f>IF(OR(E52&gt;=0.3,E52&lt;=-0.3),"超过30%","")</f>
        <v/>
      </c>
      <c r="G52" s="448">
        <f>IF(G47&lt;G48,G48/G47-1,G47/G48-1)</f>
        <v>2.0720111336583136E-2</v>
      </c>
      <c r="H52" s="449" t="str">
        <f>IF(OR(G52&gt;=0.3,G52&lt;=-0.3),"超过30%","")</f>
        <v/>
      </c>
      <c r="I52" s="448">
        <f>IF(I47&lt;I48,I48/I47-1,I47/I48-1)</f>
        <v>1.9998885467894523E-2</v>
      </c>
      <c r="J52" s="449" t="str">
        <f>IF(OR(I52&gt;=0.3,I52&lt;=-0.3),"超过30%","")</f>
        <v/>
      </c>
      <c r="K52" s="2729"/>
      <c r="L52" s="2725"/>
      <c r="M52" s="2724"/>
      <c r="N52" s="2724"/>
      <c r="O52" s="2724"/>
    </row>
    <row r="53" spans="1:29" ht="13.5" customHeight="1">
      <c r="A53" s="2724"/>
      <c r="B53" s="2724"/>
      <c r="C53" s="446" t="s">
        <v>1712</v>
      </c>
      <c r="D53" s="450"/>
      <c r="E53" s="448">
        <f>IF(E48&lt;G48,G48/E48-1,E48/G48-1)</f>
        <v>0.10599920782425887</v>
      </c>
      <c r="F53" s="449" t="str">
        <f>IF(OR(E53&gt;=0.2,E53&lt;=-0.2),"超过20%","")</f>
        <v/>
      </c>
      <c r="G53" s="448">
        <f>IF(G48&lt;I48,I48/G48-1,G48/I48-1)</f>
        <v>9.3491971603546498E-2</v>
      </c>
      <c r="H53" s="449" t="str">
        <f>IF(OR(G53&gt;=0.2,G53&lt;=-0.2),"超过20%","")</f>
        <v/>
      </c>
      <c r="I53" s="448">
        <f>IF(I48&lt;E48,E48/I48-1,I48/E48-1)</f>
        <v>1.1437885732595854E-2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9.5055940413158346E-2</v>
      </c>
      <c r="F54" s="449" t="str">
        <f>IF(OR(E54&gt;=0.3,E54&lt;=-0.3),"超过30%","")</f>
        <v/>
      </c>
      <c r="G54" s="448">
        <f>IF(G47&lt;I47,I47/G47-1,G47/I47-1)</f>
        <v>0.13847098795667834</v>
      </c>
      <c r="H54" s="449" t="str">
        <f>IF(OR(G54&gt;=0.3,G54&lt;=-0.3),"超过30%","")</f>
        <v/>
      </c>
      <c r="I54" s="448">
        <f>IF(I47&lt;E47,E47/I47-1,I47/E47-1)</f>
        <v>3.9646419823209822E-2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3496">
        <f t="shared" ref="P58" si="20">EDATE(O58,-1)</f>
        <v>44958</v>
      </c>
      <c r="Q58" s="3496">
        <f t="shared" ref="Q58" si="21">EDATE(P58,-1)</f>
        <v>44927</v>
      </c>
      <c r="R58" s="3496">
        <f t="shared" ref="R58" si="22">EDATE(Q58,-1)</f>
        <v>44896</v>
      </c>
      <c r="S58" s="3496">
        <f t="shared" ref="S58" si="23">EDATE(R58,-1)</f>
        <v>44866</v>
      </c>
      <c r="T58" s="3496">
        <f t="shared" ref="T58" si="24">EDATE(S58,-1)</f>
        <v>44835</v>
      </c>
      <c r="U58" s="3496">
        <f t="shared" ref="U58" si="25">EDATE(T58,-1)</f>
        <v>44805</v>
      </c>
      <c r="V58" s="3496">
        <f t="shared" ref="V58" si="26">EDATE(U58,-1)</f>
        <v>44774</v>
      </c>
      <c r="W58" s="3496">
        <f t="shared" ref="W58" si="27">EDATE(V58,-1)</f>
        <v>44743</v>
      </c>
      <c r="X58" s="3496">
        <f t="shared" ref="X58" si="28">EDATE(W58,-1)</f>
        <v>44713</v>
      </c>
      <c r="Y58" s="3496">
        <f t="shared" ref="Y58" si="29">EDATE(X58,-1)</f>
        <v>44682</v>
      </c>
    </row>
    <row r="59" spans="1:29" s="108" customFormat="1" ht="15">
      <c r="A59" s="458"/>
      <c r="B59" s="1918"/>
      <c r="C59" s="1182">
        <v>100</v>
      </c>
      <c r="D59" s="460">
        <v>100</v>
      </c>
      <c r="E59" s="1182">
        <v>100</v>
      </c>
      <c r="F59" s="460">
        <v>101</v>
      </c>
      <c r="G59" s="1182">
        <v>101</v>
      </c>
      <c r="H59" s="460">
        <v>101</v>
      </c>
      <c r="I59" s="460">
        <v>101</v>
      </c>
      <c r="J59" s="460">
        <v>101</v>
      </c>
      <c r="K59" s="460">
        <v>101</v>
      </c>
      <c r="L59" s="460">
        <v>101</v>
      </c>
      <c r="M59" s="460">
        <v>102</v>
      </c>
      <c r="N59" s="461">
        <v>102</v>
      </c>
      <c r="O59" s="461">
        <v>102</v>
      </c>
      <c r="P59" s="461">
        <v>102</v>
      </c>
      <c r="Q59" s="461">
        <v>102</v>
      </c>
      <c r="R59" s="461">
        <v>102</v>
      </c>
      <c r="S59" s="461">
        <v>102</v>
      </c>
      <c r="T59" s="461">
        <v>103</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0" t="s">
        <v>3408</v>
      </c>
      <c r="D88" s="3461" t="s">
        <v>3407</v>
      </c>
      <c r="E88" s="3461" t="s">
        <v>3416</v>
      </c>
      <c r="F88" s="3461" t="s">
        <v>3417</v>
      </c>
      <c r="G88" s="3461" t="s">
        <v>3418</v>
      </c>
      <c r="H88" s="3461" t="s">
        <v>3410</v>
      </c>
      <c r="I88" s="3462" t="s">
        <v>3419</v>
      </c>
      <c r="J88" s="3462" t="s">
        <v>3420</v>
      </c>
      <c r="K88" s="3461" t="s">
        <v>3421</v>
      </c>
      <c r="L88" s="3461"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3" t="s">
        <v>3422</v>
      </c>
      <c r="D90" s="3463" t="s">
        <v>3423</v>
      </c>
      <c r="E90" s="3463" t="s">
        <v>3424</v>
      </c>
      <c r="F90" s="3463" t="s">
        <v>3425</v>
      </c>
      <c r="G90" s="3463" t="s">
        <v>3426</v>
      </c>
      <c r="H90" s="504"/>
      <c r="I90" s="504"/>
      <c r="J90" s="504"/>
      <c r="K90" s="504"/>
      <c r="L90" s="505"/>
      <c r="M90" s="506"/>
      <c r="N90" s="935"/>
      <c r="O90" s="935"/>
      <c r="P90" s="1922"/>
      <c r="Q90" s="508"/>
    </row>
    <row r="91" spans="1:17" s="422" customFormat="1" ht="15.75" thickBot="1">
      <c r="A91" s="502"/>
      <c r="B91" s="492"/>
      <c r="C91" s="3464">
        <v>100</v>
      </c>
      <c r="D91" s="3464">
        <v>98</v>
      </c>
      <c r="E91" s="3464">
        <v>96</v>
      </c>
      <c r="F91" s="3464">
        <v>94</v>
      </c>
      <c r="G91" s="3464">
        <v>92</v>
      </c>
      <c r="H91" s="511"/>
      <c r="I91" s="511"/>
      <c r="J91" s="511"/>
      <c r="K91" s="511"/>
      <c r="L91" s="511"/>
      <c r="M91" s="512"/>
      <c r="N91" s="935"/>
      <c r="O91" s="935"/>
      <c r="P91" s="1922"/>
      <c r="Q91" s="508"/>
    </row>
    <row r="92" spans="1:17" ht="15.75" thickTop="1">
      <c r="A92" s="483"/>
      <c r="B92" s="487" t="str">
        <f>B28</f>
        <v>楼层</v>
      </c>
      <c r="C92" s="385" t="str">
        <f>C28</f>
        <v>10（09）/12（高楼层）</v>
      </c>
      <c r="D92" s="385" t="str">
        <f>E28</f>
        <v>5/12(中楼层）</v>
      </c>
      <c r="E92" s="385" t="str">
        <f>G28</f>
        <v>8/12(高楼层）</v>
      </c>
      <c r="F92" s="1907"/>
      <c r="G92" s="532"/>
      <c r="H92" s="532"/>
      <c r="I92" s="532"/>
      <c r="J92" s="532"/>
      <c r="K92" s="533"/>
      <c r="L92" s="534"/>
      <c r="M92" s="535"/>
      <c r="N92" s="933"/>
      <c r="O92" s="933"/>
      <c r="P92" s="1921"/>
      <c r="Q92" s="453"/>
    </row>
    <row r="93" spans="1:17" ht="15.75" thickBot="1">
      <c r="A93" s="483"/>
      <c r="B93" s="492"/>
      <c r="C93" s="509">
        <v>100</v>
      </c>
      <c r="D93" s="485">
        <v>98</v>
      </c>
      <c r="E93" s="485">
        <v>100</v>
      </c>
      <c r="F93" s="485"/>
      <c r="G93" s="485"/>
      <c r="H93" s="485"/>
      <c r="I93" s="485"/>
      <c r="J93" s="485"/>
      <c r="K93" s="485"/>
      <c r="L93" s="485"/>
      <c r="M93" s="486"/>
      <c r="N93" s="934"/>
      <c r="O93" s="934"/>
      <c r="P93" s="1921"/>
      <c r="Q93" s="453"/>
    </row>
    <row r="94" spans="1:17" ht="15.75" thickTop="1">
      <c r="A94" s="483"/>
      <c r="B94" s="487" t="str">
        <f>B29</f>
        <v>采光</v>
      </c>
      <c r="C94" s="3494" t="s">
        <v>3479</v>
      </c>
      <c r="D94" s="3494" t="s">
        <v>3480</v>
      </c>
      <c r="E94" s="3494" t="s">
        <v>3478</v>
      </c>
      <c r="F94" s="3494" t="s">
        <v>3477</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5" t="s">
        <v>3428</v>
      </c>
      <c r="D100" s="3495" t="s">
        <v>3481</v>
      </c>
      <c r="E100" s="3466" t="s">
        <v>3429</v>
      </c>
      <c r="F100" s="3467" t="s">
        <v>3430</v>
      </c>
      <c r="G100" s="3468" t="s">
        <v>3431</v>
      </c>
      <c r="H100" s="3468" t="s">
        <v>3432</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50(含)-100</v>
      </c>
      <c r="F102" s="527" t="str">
        <f>E103&amp;"(含)"&amp;"-"&amp;F103</f>
        <v>100(含)-150</v>
      </c>
      <c r="G102" s="527" t="str">
        <f>F103&amp;"(含)"&amp;"-"&amp;G103</f>
        <v>150(含)-200</v>
      </c>
      <c r="H102" s="527" t="str">
        <f>G103&amp;"(含)"&amp;"-"&amp;H103</f>
        <v>200(含)-250</v>
      </c>
      <c r="I102" s="527" t="str">
        <f>H103&amp;"(含)"&amp;"-"&amp;J103</f>
        <v>250(含)-350</v>
      </c>
      <c r="J102" s="527" t="str">
        <f t="shared" ref="J102:L102" si="36">J103&amp;"(含)"&amp;"-"&amp;K103</f>
        <v>350(含)-400</v>
      </c>
      <c r="K102" s="527" t="str">
        <f>K103&amp;"(含)"&amp;"-"&amp;L103</f>
        <v>400(含)-</v>
      </c>
      <c r="L102" s="527" t="str">
        <f t="shared" si="36"/>
        <v>(含)-</v>
      </c>
      <c r="M102" s="527" t="str">
        <f>M103&amp;"(含)"&amp;"-"&amp;P103</f>
        <v>(含)-</v>
      </c>
      <c r="N102" s="932"/>
      <c r="O102" s="932"/>
      <c r="P102" s="1921"/>
      <c r="Q102" s="453"/>
    </row>
    <row r="103" spans="1:17" s="422" customFormat="1">
      <c r="A103" s="542"/>
      <c r="B103" s="543"/>
      <c r="C103" s="6">
        <v>0</v>
      </c>
      <c r="D103" s="6">
        <v>50</v>
      </c>
      <c r="E103" s="6">
        <v>100</v>
      </c>
      <c r="F103" s="6">
        <v>150</v>
      </c>
      <c r="G103" s="6">
        <v>200</v>
      </c>
      <c r="H103" s="6">
        <v>250</v>
      </c>
      <c r="I103" s="422">
        <v>300</v>
      </c>
      <c r="J103" s="545">
        <v>350</v>
      </c>
      <c r="K103" s="545">
        <v>400</v>
      </c>
      <c r="L103" s="546"/>
      <c r="M103" s="547"/>
      <c r="N103" s="935"/>
      <c r="O103" s="935"/>
      <c r="P103" s="1922"/>
      <c r="Q103" s="508"/>
    </row>
    <row r="104" spans="1:17" s="422" customFormat="1" ht="15.75" thickBot="1">
      <c r="A104" s="502"/>
      <c r="B104" s="492"/>
      <c r="C104" s="3464">
        <v>100</v>
      </c>
      <c r="D104" s="3469">
        <v>98</v>
      </c>
      <c r="E104" s="3469">
        <v>96</v>
      </c>
      <c r="F104" s="3469">
        <v>94</v>
      </c>
      <c r="G104" s="3469">
        <v>92</v>
      </c>
      <c r="H104" s="3469">
        <v>90</v>
      </c>
      <c r="I104" s="422">
        <v>88</v>
      </c>
      <c r="J104" s="485">
        <v>86</v>
      </c>
      <c r="K104" s="485">
        <v>84</v>
      </c>
      <c r="L104" s="485"/>
      <c r="M104" s="485"/>
      <c r="N104" s="934"/>
      <c r="O104" s="934"/>
      <c r="P104" s="1922"/>
      <c r="Q104" s="508"/>
    </row>
    <row r="105" spans="1:17" ht="15" thickTop="1">
      <c r="A105" s="548"/>
      <c r="B105" s="487" t="s">
        <v>1738</v>
      </c>
      <c r="C105" s="3463" t="s">
        <v>3433</v>
      </c>
      <c r="D105" s="3463" t="s">
        <v>3434</v>
      </c>
      <c r="E105" s="3470" t="s">
        <v>3435</v>
      </c>
      <c r="F105" s="3470" t="s">
        <v>3436</v>
      </c>
      <c r="G105" s="3461" t="s">
        <v>3437</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1" t="s">
        <v>3442</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3" t="s">
        <v>3438</v>
      </c>
      <c r="D109" s="3463" t="s">
        <v>3439</v>
      </c>
      <c r="E109" s="3463" t="s">
        <v>3440</v>
      </c>
      <c r="F109" s="3470" t="s">
        <v>3441</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3" t="s">
        <v>3443</v>
      </c>
      <c r="D114" s="3463" t="s">
        <v>3444</v>
      </c>
      <c r="E114" s="3461" t="s">
        <v>3445</v>
      </c>
      <c r="F114" s="3461" t="s">
        <v>3446</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3" t="s">
        <v>3414</v>
      </c>
      <c r="D116" s="3463" t="s">
        <v>3447</v>
      </c>
      <c r="E116" s="3463" t="s">
        <v>3448</v>
      </c>
      <c r="F116" s="3463" t="s">
        <v>3449</v>
      </c>
      <c r="G116" s="3463" t="s">
        <v>3450</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2" t="s">
        <v>3451</v>
      </c>
      <c r="D118" s="3472" t="s">
        <v>3452</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102</v>
      </c>
      <c r="E119" s="493">
        <f t="shared" si="41"/>
        <v>104</v>
      </c>
      <c r="F119" s="493">
        <f t="shared" si="41"/>
        <v>106</v>
      </c>
      <c r="G119" s="493">
        <f t="shared" si="41"/>
        <v>108</v>
      </c>
      <c r="H119" s="493">
        <f t="shared" si="41"/>
        <v>110</v>
      </c>
      <c r="I119" s="493">
        <f t="shared" si="41"/>
        <v>112</v>
      </c>
      <c r="J119" s="493">
        <f t="shared" si="41"/>
        <v>114</v>
      </c>
      <c r="K119" s="493">
        <f t="shared" si="41"/>
        <v>116</v>
      </c>
      <c r="L119" s="493">
        <f t="shared" si="41"/>
        <v>118</v>
      </c>
      <c r="M119" s="493">
        <f t="shared" si="41"/>
        <v>120</v>
      </c>
      <c r="N119" s="934"/>
      <c r="O119" s="934"/>
      <c r="P119" s="1921"/>
      <c r="Q119" s="453"/>
    </row>
    <row r="120" spans="1:17" s="422" customFormat="1" ht="28.5" thickTop="1">
      <c r="A120" s="542"/>
      <c r="B120" s="487" t="s">
        <v>1705</v>
      </c>
      <c r="C120" s="3473">
        <v>0</v>
      </c>
      <c r="D120" s="3473">
        <v>20</v>
      </c>
      <c r="E120" s="3473">
        <v>40</v>
      </c>
      <c r="F120" s="3473">
        <v>60</v>
      </c>
      <c r="G120" s="3473">
        <v>80</v>
      </c>
      <c r="H120" s="3473">
        <v>100</v>
      </c>
      <c r="I120" s="3473">
        <v>120</v>
      </c>
      <c r="J120" s="3473">
        <v>140</v>
      </c>
      <c r="K120" s="503"/>
      <c r="L120" s="529"/>
      <c r="M120" s="530"/>
      <c r="N120" s="935"/>
      <c r="O120" s="935"/>
      <c r="P120" s="1922"/>
      <c r="Q120" s="508"/>
    </row>
    <row r="121" spans="1:17" s="422" customFormat="1" ht="15.75" thickBot="1">
      <c r="A121" s="502"/>
      <c r="B121" s="484"/>
      <c r="C121" s="3464">
        <v>100</v>
      </c>
      <c r="D121" s="3469">
        <v>98</v>
      </c>
      <c r="E121" s="3469">
        <v>96</v>
      </c>
      <c r="F121" s="3469">
        <v>94</v>
      </c>
      <c r="G121" s="3469">
        <v>92</v>
      </c>
      <c r="H121" s="3469">
        <v>90</v>
      </c>
      <c r="I121" s="3469">
        <v>88</v>
      </c>
      <c r="J121" s="3469">
        <v>86</v>
      </c>
      <c r="K121" s="485"/>
      <c r="L121" s="485"/>
      <c r="M121" s="485"/>
      <c r="N121" s="935"/>
      <c r="O121" s="935"/>
      <c r="P121" s="1922"/>
      <c r="Q121" s="508"/>
    </row>
    <row r="122" spans="1:17" ht="15" thickTop="1">
      <c r="A122" s="548"/>
      <c r="B122" s="487" t="s">
        <v>1744</v>
      </c>
      <c r="C122" s="3463" t="s">
        <v>3438</v>
      </c>
      <c r="D122" s="3463" t="s">
        <v>3439</v>
      </c>
      <c r="E122" s="3463" t="s">
        <v>3440</v>
      </c>
      <c r="F122" s="3470" t="s">
        <v>3441</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97</v>
      </c>
      <c r="E123" s="493">
        <f t="shared" si="42"/>
        <v>94</v>
      </c>
      <c r="F123" s="493">
        <f t="shared" si="42"/>
        <v>91</v>
      </c>
      <c r="G123" s="493">
        <f t="shared" si="42"/>
        <v>88</v>
      </c>
      <c r="H123" s="493">
        <f t="shared" si="42"/>
        <v>85</v>
      </c>
      <c r="I123" s="493">
        <f t="shared" si="42"/>
        <v>82</v>
      </c>
      <c r="J123" s="493">
        <f t="shared" si="42"/>
        <v>79</v>
      </c>
      <c r="K123" s="493">
        <f t="shared" si="42"/>
        <v>76</v>
      </c>
      <c r="L123" s="493">
        <f t="shared" si="42"/>
        <v>73</v>
      </c>
      <c r="M123" s="493">
        <f t="shared" si="42"/>
        <v>70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2004</v>
      </c>
      <c r="D126" s="503">
        <f>E44</f>
        <v>2004</v>
      </c>
      <c r="E126" s="503"/>
      <c r="F126" s="503"/>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15" sqref="F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1127</v>
      </c>
      <c r="C2" s="1386" t="s">
        <v>805</v>
      </c>
      <c r="D2" s="1386"/>
      <c r="E2" s="1387"/>
      <c r="F2" s="1388"/>
      <c r="G2" s="2705"/>
      <c r="H2" s="2694"/>
      <c r="I2" s="2694"/>
      <c r="J2" s="2694"/>
      <c r="K2" s="2695"/>
      <c r="L2" s="2694"/>
      <c r="M2" s="2694"/>
    </row>
    <row r="3" spans="1:37" ht="18" customHeight="1" thickBot="1">
      <c r="A3" s="1389" t="s">
        <v>806</v>
      </c>
      <c r="B3" s="1390">
        <f ca="1">IF(ISERROR(B2*10000/F43),0,ROUND(B2*10000/F43,0))</f>
        <v>62497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v>
      </c>
      <c r="D5" s="1363" t="s">
        <v>693</v>
      </c>
      <c r="E5" s="1071"/>
      <c r="F5" s="1072"/>
      <c r="G5" s="1383"/>
      <c r="H5" s="299">
        <v>1</v>
      </c>
      <c r="I5" s="300" t="s">
        <v>692</v>
      </c>
      <c r="J5" s="1070">
        <f ca="1">J6+J10+J12</f>
        <v>0</v>
      </c>
      <c r="K5" s="1363" t="s">
        <v>693</v>
      </c>
      <c r="L5" s="1071"/>
      <c r="M5" s="1072"/>
    </row>
    <row r="6" spans="1:37" ht="18" customHeight="1">
      <c r="A6" s="1069" t="s">
        <v>398</v>
      </c>
      <c r="B6" s="3765" t="s">
        <v>694</v>
      </c>
      <c r="C6" s="1074">
        <f ca="1">ROUND(F6*F8*F7*(1-F9)/10000,0)</f>
        <v>29</v>
      </c>
      <c r="D6" s="155" t="s">
        <v>2109</v>
      </c>
      <c r="E6" s="302" t="s">
        <v>696</v>
      </c>
      <c r="F6" s="303">
        <f ca="1">INDIRECT("'数据-取费表'!u"&amp;$G$1)</f>
        <v>25000</v>
      </c>
      <c r="G6" s="1383"/>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1</v>
      </c>
      <c r="G7" s="1383"/>
      <c r="H7" s="304"/>
      <c r="I7" s="3766"/>
      <c r="J7" s="306"/>
      <c r="K7" s="307"/>
      <c r="L7" s="302" t="s">
        <v>697</v>
      </c>
      <c r="M7" s="303">
        <f ca="1">F7</f>
        <v>1</v>
      </c>
    </row>
    <row r="8" spans="1:37" ht="18" customHeight="1">
      <c r="A8" s="304"/>
      <c r="B8" s="3766"/>
      <c r="C8" s="306"/>
      <c r="D8" s="307"/>
      <c r="E8" s="302" t="s">
        <v>698</v>
      </c>
      <c r="F8" s="303">
        <f ca="1">INDIRECT("'数据-取费表'!ai"&amp;$G$1)</f>
        <v>12</v>
      </c>
      <c r="G8" s="1383"/>
      <c r="H8" s="304"/>
      <c r="I8" s="3766"/>
      <c r="J8" s="306"/>
      <c r="K8" s="307"/>
      <c r="L8" s="302" t="s">
        <v>698</v>
      </c>
      <c r="M8" s="303">
        <f ca="1">INDIRECT("'数据-取费表'!ai"&amp;$G$1)</f>
        <v>12</v>
      </c>
    </row>
    <row r="9" spans="1:37" ht="18" customHeight="1">
      <c r="A9" s="304"/>
      <c r="B9" s="3767"/>
      <c r="C9" s="306"/>
      <c r="D9" s="307"/>
      <c r="E9" s="302" t="s">
        <v>699</v>
      </c>
      <c r="F9" s="312">
        <f ca="1">INDIRECT("'数据-取费表'!w"&amp;$G$1)</f>
        <v>0.05</v>
      </c>
      <c r="G9" s="1383"/>
      <c r="H9" s="304"/>
      <c r="I9" s="3767"/>
      <c r="J9" s="306"/>
      <c r="K9" s="307"/>
      <c r="L9" s="313" t="s">
        <v>699</v>
      </c>
      <c r="M9" s="314">
        <f ca="1">INDIRECT("'数据-取费表'!ab"&amp;$G$1)</f>
        <v>0</v>
      </c>
    </row>
    <row r="10" spans="1:37" ht="18" customHeight="1">
      <c r="A10" s="1069" t="s">
        <v>402</v>
      </c>
      <c r="B10" s="1364" t="s">
        <v>700</v>
      </c>
      <c r="C10" s="3511">
        <f ca="1">ROUND(IF(F10="押一",C6/12*F11,IF(F10="押二",C6/12*2*F11,IF(F10="押三",C6/12*3*F11,C11*F11))),0)</f>
        <v>0</v>
      </c>
      <c r="D10" s="1365" t="s">
        <v>2117</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95</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1344" t="s">
        <v>708</v>
      </c>
      <c r="E14" s="1341"/>
      <c r="F14" s="319"/>
      <c r="G14" s="1383"/>
      <c r="H14" s="982" t="s">
        <v>398</v>
      </c>
      <c r="I14" s="302" t="s">
        <v>709</v>
      </c>
      <c r="J14" s="21">
        <f ca="1">C29</f>
        <v>119</v>
      </c>
      <c r="K14" s="12"/>
      <c r="L14" s="807"/>
      <c r="M14" s="808"/>
    </row>
    <row r="15" spans="1:37" s="1396" customFormat="1" ht="18" customHeight="1" thickBot="1">
      <c r="A15" s="982" t="s">
        <v>399</v>
      </c>
      <c r="B15" s="302" t="s">
        <v>710</v>
      </c>
      <c r="C15" s="21">
        <f ca="1">ROUND(C14*F15,0)</f>
        <v>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4</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1.19</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119</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0.69</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1.19</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0.28999999999999998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1127</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62497</v>
      </c>
      <c r="D43" s="337" t="s">
        <v>777</v>
      </c>
      <c r="E43" s="338" t="s">
        <v>778</v>
      </c>
      <c r="F43" s="339">
        <f ca="1">INDIRECT("'数据-取费表'!k"&amp;$G$1)</f>
        <v>180.33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-1148</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1127</v>
      </c>
      <c r="R47" s="1419" t="s">
        <v>818</v>
      </c>
    </row>
    <row r="48" spans="1:18" s="1383" customFormat="1" ht="28.5" thickBot="1">
      <c r="A48" s="1110" t="s">
        <v>438</v>
      </c>
      <c r="B48" s="300" t="s">
        <v>692</v>
      </c>
      <c r="C48" s="1358">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119</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408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1127</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95</v>
      </c>
      <c r="D56" s="1446"/>
      <c r="E56" s="1447"/>
      <c r="F56" s="1439"/>
      <c r="I56" s="1448" t="s">
        <v>842</v>
      </c>
      <c r="J56" s="1449" t="s">
        <v>3458</v>
      </c>
      <c r="K56" s="1420" t="s">
        <v>843</v>
      </c>
      <c r="L56" s="1423">
        <f ca="1">IF(L48&lt;J51,"——",L48-J53)</f>
        <v>0</v>
      </c>
      <c r="O56" s="1417" t="s">
        <v>403</v>
      </c>
      <c r="P56" s="1418" t="s">
        <v>817</v>
      </c>
      <c r="Q56" s="1419">
        <f ca="1">C40+J29</f>
        <v>1127</v>
      </c>
      <c r="R56" s="1419" t="s">
        <v>818</v>
      </c>
    </row>
    <row r="57" spans="1:18" s="1383" customFormat="1" ht="24.75" thickBot="1">
      <c r="A57" s="1450"/>
      <c r="B57" s="950" t="s">
        <v>767</v>
      </c>
      <c r="C57" s="238">
        <f ca="1">C29</f>
        <v>119</v>
      </c>
      <c r="D57" s="1451"/>
      <c r="E57" s="1452"/>
      <c r="F57" s="1453"/>
      <c r="I57" s="1454" t="s">
        <v>844</v>
      </c>
      <c r="J57" s="1455" t="str">
        <f ca="1">IF(OR(M47="住宅",J51&lt;L48,J56="是"),"——",J51-L48)</f>
        <v>——</v>
      </c>
      <c r="K57" s="1420" t="s">
        <v>845</v>
      </c>
      <c r="L57" s="1423">
        <f ca="1">IF(L48&lt;J51,"——",IF(L55="比较法",L49,IF(L55="基准地价",L50,L51)))</f>
        <v>408</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1127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0.1</v>
      </c>
      <c r="D65" s="964" t="s">
        <v>743</v>
      </c>
      <c r="E65" s="950" t="s">
        <v>744</v>
      </c>
      <c r="F65" s="330">
        <f t="shared" ca="1" si="0"/>
        <v>1E-3</v>
      </c>
      <c r="I65" s="1461" t="s">
        <v>867</v>
      </c>
      <c r="J65" s="1462">
        <v>40</v>
      </c>
      <c r="K65" s="1462">
        <v>30</v>
      </c>
      <c r="L65" s="1462">
        <v>50</v>
      </c>
      <c r="M65" s="1464">
        <v>0.02</v>
      </c>
      <c r="O65" s="1417" t="s">
        <v>403</v>
      </c>
      <c r="P65" s="1418" t="s">
        <v>868</v>
      </c>
      <c r="Q65" s="1419">
        <f ca="1">C40+J29</f>
        <v>1127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408</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48.56</v>
      </c>
      <c r="O69" s="1427" t="s">
        <v>411</v>
      </c>
      <c r="P69" s="1466" t="s">
        <v>872</v>
      </c>
      <c r="Q69" s="1419">
        <f ca="1">C39</f>
        <v>27</v>
      </c>
      <c r="R69" s="1419" t="s">
        <v>818</v>
      </c>
    </row>
    <row r="70" spans="1:18" s="1383" customFormat="1" ht="13.5" thickBot="1">
      <c r="A70" s="954"/>
      <c r="B70" s="955"/>
      <c r="C70" s="310"/>
      <c r="D70" s="966"/>
      <c r="E70" s="950" t="s">
        <v>766</v>
      </c>
      <c r="F70" s="1054"/>
      <c r="O70" s="1427" t="s">
        <v>412</v>
      </c>
      <c r="P70" s="1466" t="s">
        <v>873</v>
      </c>
      <c r="Q70" s="1419">
        <f ca="1">C13</f>
        <v>95</v>
      </c>
      <c r="R70" s="1419" t="s">
        <v>818</v>
      </c>
    </row>
    <row r="71" spans="1:18" s="1383" customFormat="1" ht="13.5" thickBot="1">
      <c r="A71" s="971" t="s">
        <v>396</v>
      </c>
      <c r="B71" s="972" t="s">
        <v>776</v>
      </c>
      <c r="C71" s="336">
        <f ca="1">ROUND(C68*10000/F71,0)</f>
        <v>-1165</v>
      </c>
      <c r="D71" s="973" t="s">
        <v>777</v>
      </c>
      <c r="E71" s="974" t="s">
        <v>778</v>
      </c>
      <c r="F71" s="339">
        <f ca="1">F43</f>
        <v>180.33</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1127</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0.91600000000000004</v>
      </c>
    </row>
    <row r="83" spans="2:3">
      <c r="B83" s="273" t="s">
        <v>803</v>
      </c>
      <c r="C83" s="274">
        <f ca="1">ROUND(C13/C40,3)</f>
        <v>8.4000000000000005E-2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86" t="s">
        <v>3462</v>
      </c>
      <c r="B1" s="3486" t="s">
        <v>3463</v>
      </c>
      <c r="C1" s="3487"/>
      <c r="D1" s="3487"/>
      <c r="E1" s="3487"/>
      <c r="F1" s="3487"/>
      <c r="G1" s="3487"/>
      <c r="H1" s="3487"/>
      <c r="I1" s="3487"/>
      <c r="J1" s="3487"/>
    </row>
    <row r="2" spans="1:10">
      <c r="A2" s="3486">
        <v>100.61</v>
      </c>
      <c r="B2" s="3486">
        <v>81.489999999999995</v>
      </c>
      <c r="C2" s="3486">
        <f>ROUND(B2/A2,2)</f>
        <v>0.81</v>
      </c>
      <c r="D2" s="3486"/>
      <c r="E2" s="3486"/>
      <c r="F2" s="3486"/>
      <c r="G2" s="3486"/>
      <c r="H2" s="3487"/>
      <c r="I2" s="3487"/>
      <c r="J2" s="3487"/>
    </row>
    <row r="3" spans="1:10">
      <c r="A3" s="3486"/>
      <c r="B3" s="3486"/>
      <c r="C3" s="3486"/>
      <c r="D3" s="3486"/>
      <c r="E3" s="3486"/>
      <c r="F3" s="3486"/>
      <c r="G3" s="3486"/>
      <c r="H3" s="3487"/>
      <c r="I3" s="3487"/>
      <c r="J3" s="3487"/>
    </row>
    <row r="4" spans="1:10">
      <c r="A4" s="3486" t="s">
        <v>3464</v>
      </c>
      <c r="B4" s="3486">
        <v>26.83</v>
      </c>
      <c r="C4" s="3486"/>
      <c r="D4" s="3486"/>
      <c r="E4" s="3486"/>
      <c r="F4" s="3486"/>
      <c r="G4" s="3486"/>
      <c r="H4" s="3487"/>
      <c r="I4" s="3487"/>
      <c r="J4" s="3487"/>
    </row>
    <row r="5" spans="1:10">
      <c r="A5" s="3486"/>
      <c r="B5" s="3486" t="s">
        <v>3467</v>
      </c>
      <c r="C5" s="3486" t="s">
        <v>3468</v>
      </c>
      <c r="D5" s="3486" t="s">
        <v>3469</v>
      </c>
      <c r="E5" s="3486"/>
      <c r="F5" s="3491" t="s">
        <v>3471</v>
      </c>
      <c r="G5" s="3491" t="s">
        <v>3472</v>
      </c>
      <c r="H5" s="3487"/>
      <c r="I5" s="3487"/>
      <c r="J5" s="3487"/>
    </row>
    <row r="6" spans="1:10">
      <c r="A6" s="3486" t="s">
        <v>3465</v>
      </c>
      <c r="B6" s="3486">
        <v>2.7</v>
      </c>
      <c r="C6" s="3486">
        <v>5.27</v>
      </c>
      <c r="D6" s="3486">
        <f>ROUND(B6*C6/C2,2)</f>
        <v>17.57</v>
      </c>
      <c r="E6" s="3486" t="s">
        <v>3462</v>
      </c>
      <c r="F6" s="3491">
        <f ca="1">'收益法 (元)'!B3</f>
        <v>21440</v>
      </c>
      <c r="G6" s="3491">
        <f ca="1">ROUND(D6*F6/10000,4)</f>
        <v>37.670099999999998</v>
      </c>
      <c r="H6" s="3487"/>
      <c r="I6" s="3487"/>
      <c r="J6" s="3487"/>
    </row>
    <row r="7" spans="1:10">
      <c r="A7" s="3486" t="s">
        <v>3466</v>
      </c>
      <c r="B7" s="3486">
        <v>2.5</v>
      </c>
      <c r="C7" s="3486">
        <v>5</v>
      </c>
      <c r="D7" s="3486">
        <f>B7*C7</f>
        <v>12.5</v>
      </c>
      <c r="E7" s="3486" t="s">
        <v>3470</v>
      </c>
      <c r="F7" s="3486"/>
      <c r="G7" s="3486">
        <f ca="1">结果表!G20*100.61/10000</f>
        <v>1252.7051709999998</v>
      </c>
      <c r="H7" s="3487"/>
      <c r="I7" s="3487"/>
      <c r="J7" s="3487"/>
    </row>
    <row r="8" spans="1:10">
      <c r="A8" s="3486"/>
      <c r="B8" s="3486"/>
      <c r="C8" s="3486" t="s">
        <v>3473</v>
      </c>
      <c r="D8" s="3486">
        <f>D7/D6</f>
        <v>0.71143995446784292</v>
      </c>
      <c r="E8" s="3486"/>
      <c r="F8" s="3486"/>
      <c r="G8" s="3486">
        <f ca="1">G7+G6</f>
        <v>1290.3752709999999</v>
      </c>
      <c r="H8" s="3487"/>
      <c r="I8" s="3487"/>
      <c r="J8" s="3487"/>
    </row>
    <row r="9" spans="1:10">
      <c r="A9" s="3486"/>
      <c r="B9" s="3486"/>
      <c r="C9" s="3486"/>
      <c r="D9" s="3486"/>
      <c r="E9" s="3486"/>
      <c r="F9" s="3486"/>
      <c r="G9" s="3486">
        <f ca="1">G8/(100.61+D6)*10000</f>
        <v>109187.27965814857</v>
      </c>
      <c r="H9" s="3487"/>
      <c r="I9" s="3487"/>
      <c r="J9" s="3487"/>
    </row>
    <row r="10" spans="1:10">
      <c r="A10" s="3486"/>
      <c r="B10" s="3486"/>
      <c r="C10" s="3486"/>
      <c r="D10" s="3486"/>
      <c r="E10" s="3486"/>
      <c r="F10" s="3486"/>
      <c r="G10" s="3486">
        <f ca="1">G8/100.61*10000</f>
        <v>128255.17055958651</v>
      </c>
      <c r="H10" s="3487"/>
      <c r="I10" s="3487"/>
      <c r="J10" s="3487"/>
    </row>
    <row r="11" spans="1:10">
      <c r="A11" s="3486"/>
      <c r="B11" s="3486"/>
      <c r="C11" s="3486"/>
      <c r="D11" s="3486"/>
      <c r="E11" s="3486"/>
      <c r="F11" s="3486"/>
      <c r="G11" s="3486"/>
      <c r="H11" s="3487"/>
      <c r="I11" s="3487"/>
      <c r="J11" s="3487"/>
    </row>
    <row r="12" spans="1:10">
      <c r="A12" s="3486"/>
      <c r="B12" s="3486"/>
      <c r="C12" s="3486"/>
      <c r="D12" s="3486"/>
      <c r="E12" s="3486"/>
      <c r="F12" s="3486"/>
      <c r="G12" s="3486">
        <f ca="1">G6+结果表!G22/10000</f>
        <v>2282.9769630000001</v>
      </c>
      <c r="H12" s="3487"/>
      <c r="I12" s="3487"/>
      <c r="J12" s="3487"/>
    </row>
    <row r="13" spans="1:10">
      <c r="A13" s="3486"/>
      <c r="B13" s="3486"/>
      <c r="C13" s="3486"/>
      <c r="D13" s="3486"/>
      <c r="E13" s="3486"/>
      <c r="F13" s="3486"/>
      <c r="G13" s="3486">
        <f ca="1">(G12-866)/866</f>
        <v>1.636232058891455</v>
      </c>
      <c r="H13" s="3487"/>
      <c r="I13" s="3487"/>
      <c r="J13" s="3487"/>
    </row>
    <row r="14" spans="1:10">
      <c r="A14" s="3486"/>
      <c r="B14" s="3486"/>
      <c r="C14" s="3486">
        <v>23.358000000000001</v>
      </c>
      <c r="D14" s="3486"/>
      <c r="E14" s="3486"/>
      <c r="F14" s="3486"/>
      <c r="G14" s="3486">
        <f ca="1">G12-866</f>
        <v>1416.9769630000001</v>
      </c>
      <c r="H14" s="3487"/>
      <c r="I14" s="3487"/>
      <c r="J14" s="3487"/>
    </row>
    <row r="15" spans="1:10">
      <c r="A15" s="3486"/>
      <c r="B15" s="3486"/>
      <c r="C15" s="3486"/>
      <c r="D15" s="3486">
        <v>8.9700000000000006</v>
      </c>
      <c r="E15" s="3486"/>
      <c r="F15" s="3486"/>
      <c r="G15" s="3486"/>
      <c r="H15" s="3487"/>
      <c r="I15" s="3487"/>
      <c r="J15" s="3487"/>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v>
      </c>
      <c r="C2" s="1386" t="s">
        <v>805</v>
      </c>
      <c r="D2" s="1386"/>
      <c r="E2" s="1387"/>
      <c r="F2" s="1388"/>
      <c r="G2" s="2705"/>
      <c r="H2" s="2694"/>
      <c r="I2" s="2694"/>
      <c r="J2" s="2694"/>
      <c r="K2" s="2695"/>
      <c r="L2" s="2694"/>
      <c r="M2" s="2694"/>
    </row>
    <row r="3" spans="1:37" ht="18" customHeight="1" thickBot="1">
      <c r="A3" s="1389" t="s">
        <v>806</v>
      </c>
      <c r="B3" s="1390">
        <f ca="1">IF(ISERROR(B2*10000/F43),0,ROUND(B2*10000/F43,0))</f>
        <v>11952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65" t="s">
        <v>694</v>
      </c>
      <c r="C6" s="1074">
        <f ca="1">ROUND(F6*F8*F7*(1-F9)/10000,0)</f>
        <v>2</v>
      </c>
      <c r="D6" s="155" t="s">
        <v>2109</v>
      </c>
      <c r="E6" s="302" t="s">
        <v>696</v>
      </c>
      <c r="F6" s="3489">
        <v>1800</v>
      </c>
      <c r="G6" s="1383">
        <f>ROUND(14000/100.61,0)</f>
        <v>139</v>
      </c>
      <c r="H6" s="1069" t="s">
        <v>398</v>
      </c>
      <c r="I6" s="3765" t="s">
        <v>694</v>
      </c>
      <c r="J6" s="301">
        <f ca="1">ROUND(M6*M8*M7*(1-M9)/10000,0)</f>
        <v>0</v>
      </c>
      <c r="K6" s="155" t="s">
        <v>2108</v>
      </c>
      <c r="L6" s="302" t="s">
        <v>696</v>
      </c>
      <c r="M6" s="303">
        <f ca="1">INDIRECT("'数据-取费表'!z"&amp;$G$1)</f>
        <v>0</v>
      </c>
    </row>
    <row r="7" spans="1:37" ht="18" customHeight="1">
      <c r="A7" s="1073"/>
      <c r="B7" s="3766"/>
      <c r="C7" s="1075"/>
      <c r="D7" s="307"/>
      <c r="E7" s="3483" t="s">
        <v>697</v>
      </c>
      <c r="F7" s="303">
        <v>1</v>
      </c>
      <c r="G7" s="1383">
        <f>120*0.8</f>
        <v>96</v>
      </c>
      <c r="H7" s="304"/>
      <c r="I7" s="3766"/>
      <c r="J7" s="306"/>
      <c r="K7" s="307"/>
      <c r="L7" s="302" t="s">
        <v>697</v>
      </c>
      <c r="M7" s="303">
        <f>F7</f>
        <v>1</v>
      </c>
    </row>
    <row r="8" spans="1:37" ht="18" customHeight="1">
      <c r="A8" s="304"/>
      <c r="B8" s="3766"/>
      <c r="C8" s="306"/>
      <c r="D8" s="307"/>
      <c r="E8" s="302" t="s">
        <v>698</v>
      </c>
      <c r="F8" s="303">
        <f ca="1">INDIRECT("'数据-取费表'!ai"&amp;$G$1)</f>
        <v>12</v>
      </c>
      <c r="G8" s="1383">
        <f>G7*F43</f>
        <v>1686.72</v>
      </c>
      <c r="H8" s="304"/>
      <c r="I8" s="3766"/>
      <c r="J8" s="306"/>
      <c r="K8" s="307"/>
      <c r="L8" s="302" t="s">
        <v>698</v>
      </c>
      <c r="M8" s="303">
        <f ca="1">INDIRECT("'数据-取费表'!ai"&amp;$G$1)</f>
        <v>12</v>
      </c>
    </row>
    <row r="9" spans="1:37" ht="18" customHeight="1">
      <c r="A9" s="304"/>
      <c r="B9" s="3767"/>
      <c r="C9" s="306"/>
      <c r="D9" s="307"/>
      <c r="E9" s="302" t="s">
        <v>699</v>
      </c>
      <c r="F9" s="312">
        <v>0.1</v>
      </c>
      <c r="G9" s="1383"/>
      <c r="H9" s="304"/>
      <c r="I9" s="376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v>
      </c>
      <c r="D13" s="3475" t="s">
        <v>705</v>
      </c>
      <c r="E13" s="3475"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3479" t="s">
        <v>708</v>
      </c>
      <c r="E14" s="3477"/>
      <c r="F14" s="319"/>
      <c r="G14" s="1383"/>
      <c r="H14" s="982" t="s">
        <v>398</v>
      </c>
      <c r="I14" s="302" t="s">
        <v>709</v>
      </c>
      <c r="J14" s="21">
        <f ca="1">C29</f>
        <v>101</v>
      </c>
      <c r="K14" s="3482"/>
      <c r="L14" s="807"/>
      <c r="M14" s="808"/>
    </row>
    <row r="15" spans="1:37" s="1396" customFormat="1" ht="18" customHeight="1" thickBot="1">
      <c r="A15" s="982" t="s">
        <v>399</v>
      </c>
      <c r="B15" s="302" t="s">
        <v>710</v>
      </c>
      <c r="C15" s="21">
        <f ca="1">ROUND(C14*F15,0)</f>
        <v>2</v>
      </c>
      <c r="D15" s="3476" t="s">
        <v>711</v>
      </c>
      <c r="E15" s="3476"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3480"/>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79" t="s">
        <v>720</v>
      </c>
      <c r="L17" s="3478"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3478"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79</v>
      </c>
      <c r="D19" s="131" t="s">
        <v>726</v>
      </c>
      <c r="E19" s="348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3"/>
      <c r="H22" s="982" t="s">
        <v>402</v>
      </c>
      <c r="I22" s="302" t="s">
        <v>738</v>
      </c>
      <c r="J22" s="21">
        <f ca="1">ROUND(J14*M22,2)</f>
        <v>1.01</v>
      </c>
      <c r="K22" s="347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78"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85"/>
      <c r="F25" s="23"/>
      <c r="G25" s="1383"/>
      <c r="H25" s="1079" t="s">
        <v>394</v>
      </c>
      <c r="I25" s="1094" t="s">
        <v>752</v>
      </c>
      <c r="J25" s="310">
        <f ca="1">J5-J16</f>
        <v>-1</v>
      </c>
      <c r="K25" s="1095" t="s">
        <v>753</v>
      </c>
      <c r="L25" s="1096"/>
      <c r="M25" s="1097"/>
    </row>
    <row r="26" spans="1:37">
      <c r="A26" s="982" t="s">
        <v>397</v>
      </c>
      <c r="B26" s="302" t="s">
        <v>754</v>
      </c>
      <c r="C26" s="21">
        <f ca="1">ROUND((C19+C20)*F26,0)</f>
        <v>8</v>
      </c>
      <c r="D26" s="2427" t="s">
        <v>755</v>
      </c>
      <c r="E26" s="313" t="s">
        <v>756</v>
      </c>
      <c r="F26" s="3488">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7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0"/>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79" t="s">
        <v>720</v>
      </c>
      <c r="E31" s="3478"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78"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1.01</v>
      </c>
      <c r="D36" s="3478"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0.08</v>
      </c>
      <c r="D37" s="3478" t="s">
        <v>743</v>
      </c>
      <c r="E37" s="302" t="s">
        <v>712</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0.02</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21</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488">
        <v>0</v>
      </c>
      <c r="G42" s="1383"/>
      <c r="H42" s="1190"/>
      <c r="I42" s="1397"/>
      <c r="J42" s="1398"/>
      <c r="K42" s="2543"/>
      <c r="L42" s="1190"/>
      <c r="M42" s="1190"/>
    </row>
    <row r="43" spans="1:18" ht="18" customHeight="1" thickBot="1">
      <c r="A43" s="334" t="s">
        <v>396</v>
      </c>
      <c r="B43" s="335" t="s">
        <v>776</v>
      </c>
      <c r="C43" s="336">
        <f ca="1">ROUND(C40*10000/F43,0)</f>
        <v>11952</v>
      </c>
      <c r="D43" s="337" t="s">
        <v>777</v>
      </c>
      <c r="E43" s="338" t="s">
        <v>778</v>
      </c>
      <c r="F43" s="3490">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-42</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21</v>
      </c>
      <c r="R47" s="1419" t="s">
        <v>818</v>
      </c>
    </row>
    <row r="48" spans="1:18" s="1383" customFormat="1" ht="28.5" thickBot="1">
      <c r="A48" s="1110" t="s">
        <v>438</v>
      </c>
      <c r="B48" s="300" t="s">
        <v>692</v>
      </c>
      <c r="C48" s="3484">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101</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-84</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21</v>
      </c>
      <c r="R53" s="1419" t="s">
        <v>410</v>
      </c>
    </row>
    <row r="54" spans="1:18" s="1383" customFormat="1" ht="13.5" thickBot="1">
      <c r="A54" s="1153"/>
      <c r="B54" s="1366" t="s">
        <v>679</v>
      </c>
      <c r="C54" s="959"/>
      <c r="D54" s="1365"/>
      <c r="E54" s="3481"/>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81</v>
      </c>
      <c r="D56" s="1446"/>
      <c r="E56" s="1447"/>
      <c r="F56" s="1439"/>
      <c r="I56" s="1448" t="s">
        <v>842</v>
      </c>
      <c r="J56" s="1449" t="s">
        <v>3458</v>
      </c>
      <c r="K56" s="1420" t="s">
        <v>843</v>
      </c>
      <c r="L56" s="1423">
        <f ca="1">IF(L48&lt;J51,"——",L48-J53)</f>
        <v>0</v>
      </c>
      <c r="O56" s="1417" t="s">
        <v>403</v>
      </c>
      <c r="P56" s="1418" t="s">
        <v>817</v>
      </c>
      <c r="Q56" s="1419">
        <f ca="1">C40+J29</f>
        <v>21</v>
      </c>
      <c r="R56" s="1419" t="s">
        <v>818</v>
      </c>
    </row>
    <row r="57" spans="1:18" s="1383" customFormat="1" ht="24.75" thickBot="1">
      <c r="A57" s="1450"/>
      <c r="B57" s="950" t="s">
        <v>767</v>
      </c>
      <c r="C57" s="238">
        <f ca="1">C29</f>
        <v>101</v>
      </c>
      <c r="D57" s="1451"/>
      <c r="E57" s="1452"/>
      <c r="F57" s="1453"/>
      <c r="I57" s="1454" t="s">
        <v>844</v>
      </c>
      <c r="J57" s="1455" t="str">
        <f ca="1">IF(OR(M47="住宅",J51&lt;L48,J56="是"),"——",J51-L48)</f>
        <v>——</v>
      </c>
      <c r="K57" s="1420" t="s">
        <v>845</v>
      </c>
      <c r="L57" s="1423">
        <f ca="1">IF(L48&lt;J51,"——",IF(L55="比较法",L49,IF(L55="基准地价",L50,L51)))</f>
        <v>-84</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21</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1.01</v>
      </c>
      <c r="D64" s="964" t="s">
        <v>771</v>
      </c>
      <c r="E64" s="950" t="s">
        <v>712</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0.08</v>
      </c>
      <c r="D65" s="964" t="s">
        <v>743</v>
      </c>
      <c r="E65" s="950" t="s">
        <v>712</v>
      </c>
      <c r="F65" s="330">
        <f t="shared" ca="1" si="0"/>
        <v>1E-3</v>
      </c>
      <c r="I65" s="1461" t="s">
        <v>867</v>
      </c>
      <c r="J65" s="1462">
        <v>40</v>
      </c>
      <c r="K65" s="1462">
        <v>30</v>
      </c>
      <c r="L65" s="1462">
        <v>50</v>
      </c>
      <c r="M65" s="1464">
        <v>0.02</v>
      </c>
      <c r="O65" s="1417" t="s">
        <v>403</v>
      </c>
      <c r="P65" s="1418" t="s">
        <v>817</v>
      </c>
      <c r="Q65" s="1419">
        <f ca="1">C40+J29</f>
        <v>21</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-84</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-4</v>
      </c>
      <c r="R68" s="1419" t="s">
        <v>414</v>
      </c>
    </row>
    <row r="69" spans="1:18" s="1383" customFormat="1" ht="13.5" thickBot="1">
      <c r="A69" s="951"/>
      <c r="B69" s="952"/>
      <c r="C69" s="306"/>
      <c r="D69" s="970" t="s">
        <v>762</v>
      </c>
      <c r="E69" s="950" t="s">
        <v>763</v>
      </c>
      <c r="F69" s="333">
        <f ca="1">F41</f>
        <v>48.56</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81</v>
      </c>
      <c r="R70" s="1419" t="s">
        <v>818</v>
      </c>
    </row>
    <row r="71" spans="1:18" s="1383" customFormat="1" ht="13.5" thickBot="1">
      <c r="A71" s="971" t="s">
        <v>396</v>
      </c>
      <c r="B71" s="972" t="s">
        <v>776</v>
      </c>
      <c r="C71" s="336">
        <f ca="1">ROUND(C68*10000/F71,0)</f>
        <v>-11952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v>
      </c>
      <c r="D75" s="1383"/>
      <c r="E75" s="1383"/>
      <c r="F75" s="1383"/>
      <c r="K75" s="1401"/>
      <c r="L75" s="1383"/>
      <c r="O75" s="1417" t="s">
        <v>409</v>
      </c>
      <c r="P75" s="1418" t="s">
        <v>838</v>
      </c>
      <c r="Q75" s="1419">
        <f ca="1">Q65+Q66</f>
        <v>21</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v>
      </c>
    </row>
    <row r="80" spans="1:18">
      <c r="B80" s="340" t="s">
        <v>800</v>
      </c>
      <c r="C80" s="274">
        <f ca="1">ROUND(C75/C39,3)</f>
        <v>5</v>
      </c>
    </row>
    <row r="81" spans="2:3">
      <c r="B81" s="270" t="s">
        <v>801</v>
      </c>
      <c r="C81" s="238"/>
    </row>
    <row r="82" spans="2:3">
      <c r="B82" s="273" t="s">
        <v>802</v>
      </c>
      <c r="C82" s="275">
        <f ca="1">1-C83</f>
        <v>-2.8570000000000002</v>
      </c>
    </row>
    <row r="83" spans="2:3">
      <c r="B83" s="273" t="s">
        <v>803</v>
      </c>
      <c r="C83" s="274">
        <f ca="1">ROUND(C13/C40,3)</f>
        <v>3.8570000000000002</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37.670200000000001</v>
      </c>
      <c r="C2" s="1386" t="s">
        <v>879</v>
      </c>
      <c r="D2" s="1470">
        <f ca="1">C40+J29+L46</f>
        <v>376702</v>
      </c>
      <c r="E2" s="1387" t="s">
        <v>880</v>
      </c>
      <c r="F2" s="1388"/>
      <c r="G2" s="2705"/>
      <c r="H2" s="2694"/>
      <c r="I2" s="2694"/>
      <c r="J2" s="2694"/>
      <c r="K2" s="2695"/>
      <c r="L2" s="2694"/>
      <c r="M2" s="2694"/>
    </row>
    <row r="3" spans="1:37" ht="18" customHeight="1" thickBot="1">
      <c r="A3" s="1389" t="s">
        <v>881</v>
      </c>
      <c r="B3" s="1390">
        <f ca="1">IF(ISERROR(D2/F43),0,ROUND(D2/F43,0))</f>
        <v>21440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65" t="s">
        <v>694</v>
      </c>
      <c r="C6" s="1074">
        <f ca="1">ROUND(F6*F8*F7*(1-F9),0)</f>
        <v>19440</v>
      </c>
      <c r="D6" s="155" t="s">
        <v>2106</v>
      </c>
      <c r="E6" s="302" t="s">
        <v>696</v>
      </c>
      <c r="F6" s="303">
        <v>1800</v>
      </c>
      <c r="G6" s="1383">
        <v>1800</v>
      </c>
      <c r="H6" s="1069" t="s">
        <v>398</v>
      </c>
      <c r="I6" s="3765" t="s">
        <v>694</v>
      </c>
      <c r="J6" s="301">
        <f ca="1">ROUND(M6*M8*M7*(1-M9),0)</f>
        <v>0</v>
      </c>
      <c r="K6" s="1375" t="s">
        <v>2107</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1</v>
      </c>
      <c r="G7" s="1383"/>
      <c r="H7" s="304"/>
      <c r="I7" s="3766"/>
      <c r="J7" s="306"/>
      <c r="K7" s="307"/>
      <c r="L7" s="302" t="s">
        <v>697</v>
      </c>
      <c r="M7" s="303">
        <f ca="1">F7</f>
        <v>1</v>
      </c>
    </row>
    <row r="8" spans="1:37" ht="18" customHeight="1">
      <c r="A8" s="304"/>
      <c r="B8" s="3766"/>
      <c r="C8" s="306"/>
      <c r="D8" s="307"/>
      <c r="E8" s="302" t="s">
        <v>698</v>
      </c>
      <c r="F8" s="303">
        <f ca="1">INDIRECT("'数据-取费表'!ai"&amp;$G$1)</f>
        <v>12</v>
      </c>
      <c r="G8" s="1383"/>
      <c r="H8" s="304"/>
      <c r="I8" s="3766"/>
      <c r="J8" s="306"/>
      <c r="K8" s="307"/>
      <c r="L8" s="302" t="s">
        <v>698</v>
      </c>
      <c r="M8" s="303">
        <f ca="1">INDIRECT("'数据-取费表'!ai"&amp;$G$1)</f>
        <v>12</v>
      </c>
    </row>
    <row r="9" spans="1:37" ht="18" customHeight="1">
      <c r="A9" s="304"/>
      <c r="B9" s="3767"/>
      <c r="C9" s="306"/>
      <c r="D9" s="307"/>
      <c r="E9" s="302" t="s">
        <v>699</v>
      </c>
      <c r="F9" s="312">
        <v>0.1</v>
      </c>
      <c r="G9" s="1383"/>
      <c r="H9" s="304"/>
      <c r="I9" s="3767"/>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3456</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81572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70280</v>
      </c>
      <c r="D14" s="1344" t="s">
        <v>708</v>
      </c>
      <c r="E14" s="1341"/>
      <c r="F14" s="319"/>
      <c r="G14" s="1383"/>
      <c r="H14" s="982" t="s">
        <v>398</v>
      </c>
      <c r="I14" s="302" t="s">
        <v>709</v>
      </c>
      <c r="J14" s="21">
        <f ca="1">C29</f>
        <v>101965</v>
      </c>
      <c r="K14" s="12"/>
      <c r="L14" s="807"/>
      <c r="M14" s="808"/>
    </row>
    <row r="15" spans="1:37" s="1396" customFormat="1" ht="18" customHeight="1" thickBot="1">
      <c r="A15" s="982" t="s">
        <v>399</v>
      </c>
      <c r="B15" s="302" t="s">
        <v>710</v>
      </c>
      <c r="C15" s="21">
        <f ca="1">ROUND(C14*F15,0)</f>
        <v>2108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3514</v>
      </c>
      <c r="D16" s="302" t="s">
        <v>711</v>
      </c>
      <c r="E16" s="302" t="s">
        <v>712</v>
      </c>
      <c r="F16" s="322">
        <f ca="1">IF(INDIRECT("'数据-取费表'!c"&amp;$G$1)="住宅",'数据-取费表'!B34,0)</f>
        <v>0.05</v>
      </c>
      <c r="G16" s="1383"/>
      <c r="H16" s="1079" t="s">
        <v>393</v>
      </c>
      <c r="I16" s="1080" t="s">
        <v>714</v>
      </c>
      <c r="J16" s="310">
        <f ca="1">ROUND(J17+J22+J23+J24,0)</f>
        <v>1020</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80470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1609</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1020</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3898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-1020</v>
      </c>
      <c r="K25" s="1095" t="s">
        <v>753</v>
      </c>
      <c r="L25" s="1096"/>
      <c r="M25" s="1097"/>
    </row>
    <row r="26" spans="1:37" ht="18" customHeight="1">
      <c r="A26" s="982" t="s">
        <v>397</v>
      </c>
      <c r="B26" s="302" t="s">
        <v>754</v>
      </c>
      <c r="C26" s="21">
        <f ca="1">ROUND((C19+C20)*F26,0)</f>
        <v>8208</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101965</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1020</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82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195</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17704</v>
      </c>
      <c r="D39" s="1095" t="s">
        <v>773</v>
      </c>
      <c r="E39" s="1096"/>
      <c r="F39" s="1097"/>
      <c r="G39" s="1383"/>
      <c r="H39" s="2699"/>
      <c r="I39" s="1397"/>
      <c r="J39" s="1398"/>
      <c r="K39" s="2703"/>
      <c r="L39" s="2699"/>
      <c r="M39" s="2699"/>
    </row>
    <row r="40" spans="1:18" ht="18" customHeight="1">
      <c r="A40" s="299" t="s">
        <v>395</v>
      </c>
      <c r="B40" s="300" t="s">
        <v>774</v>
      </c>
      <c r="C40" s="301">
        <f ca="1">ROUND(C39*(1-((1+F42)/(1+F40))^F41)/(F40-F42),0)</f>
        <v>376702</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21440</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-40.015000000000001</v>
      </c>
      <c r="D45" s="3431" t="s">
        <v>3358</v>
      </c>
      <c r="E45" s="1399"/>
      <c r="F45" s="1399"/>
      <c r="O45" s="1402" t="s">
        <v>808</v>
      </c>
      <c r="P45" s="1460"/>
      <c r="Q45" s="1460"/>
      <c r="R45" s="1460"/>
    </row>
    <row r="46" spans="1:18" s="1383" customFormat="1" ht="13.5" thickBot="1">
      <c r="A46" s="1403" t="s">
        <v>809</v>
      </c>
      <c r="C46" s="1404">
        <f ca="1">ROUND(C45,0)</f>
        <v>-40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376702</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101965</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48.56</v>
      </c>
      <c r="K53" s="3763" t="s">
        <v>837</v>
      </c>
      <c r="L53" s="3764"/>
      <c r="O53" s="1417" t="s">
        <v>409</v>
      </c>
      <c r="P53" s="1418" t="s">
        <v>838</v>
      </c>
      <c r="Q53" s="1419">
        <f ca="1">Q47+Q48</f>
        <v>376702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81572</v>
      </c>
      <c r="D56" s="1446"/>
      <c r="E56" s="1447"/>
      <c r="F56" s="1439"/>
      <c r="I56" s="1448" t="s">
        <v>842</v>
      </c>
      <c r="J56" s="1449"/>
      <c r="K56" s="1420" t="s">
        <v>843</v>
      </c>
      <c r="L56" s="1423">
        <f ca="1">IF(L48&lt;J51,"——",L48-J51)</f>
        <v>48.56</v>
      </c>
      <c r="O56" s="1417" t="s">
        <v>403</v>
      </c>
      <c r="P56" s="1418" t="s">
        <v>817</v>
      </c>
      <c r="Q56" s="1419">
        <f ca="1">C40+J29</f>
        <v>376702</v>
      </c>
      <c r="R56" s="1419" t="s">
        <v>818</v>
      </c>
    </row>
    <row r="57" spans="1:18" s="1383" customFormat="1" ht="24.75" thickBot="1">
      <c r="A57" s="1450"/>
      <c r="B57" s="950" t="s">
        <v>767</v>
      </c>
      <c r="C57" s="238">
        <f ca="1">C29</f>
        <v>101965</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1102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376702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1020</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82</v>
      </c>
      <c r="D65" s="964" t="s">
        <v>743</v>
      </c>
      <c r="E65" s="950" t="s">
        <v>744</v>
      </c>
      <c r="F65" s="330">
        <f t="shared" ca="1" si="0"/>
        <v>1E-3</v>
      </c>
      <c r="I65" s="1461" t="s">
        <v>867</v>
      </c>
      <c r="J65" s="1462">
        <v>40</v>
      </c>
      <c r="K65" s="1462">
        <v>30</v>
      </c>
      <c r="L65" s="1462">
        <v>50</v>
      </c>
      <c r="M65" s="1464">
        <v>0.02</v>
      </c>
      <c r="O65" s="1417" t="s">
        <v>403</v>
      </c>
      <c r="P65" s="1418" t="s">
        <v>868</v>
      </c>
      <c r="Q65" s="1419">
        <f ca="1">C40+J29</f>
        <v>376702</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-1102</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-23448</v>
      </c>
      <c r="D68" s="965" t="s">
        <v>758</v>
      </c>
      <c r="E68" s="950" t="s">
        <v>759</v>
      </c>
      <c r="F68" s="312">
        <f ca="1">F40</f>
        <v>0.04</v>
      </c>
      <c r="O68" s="1427" t="s">
        <v>406</v>
      </c>
      <c r="P68" s="1466" t="s">
        <v>871</v>
      </c>
      <c r="Q68" s="1419">
        <f ca="1">ROUND(Q69-Q70*Q71,0)</f>
        <v>12402</v>
      </c>
      <c r="R68" s="1419" t="s">
        <v>414</v>
      </c>
    </row>
    <row r="69" spans="1:18" s="1383" customFormat="1" ht="13.5" thickBot="1">
      <c r="A69" s="951"/>
      <c r="B69" s="952"/>
      <c r="C69" s="306"/>
      <c r="D69" s="970" t="s">
        <v>762</v>
      </c>
      <c r="E69" s="950" t="s">
        <v>763</v>
      </c>
      <c r="F69" s="333">
        <f ca="1">F41</f>
        <v>48.56</v>
      </c>
      <c r="O69" s="1427" t="s">
        <v>411</v>
      </c>
      <c r="P69" s="1466" t="s">
        <v>872</v>
      </c>
      <c r="Q69" s="1419">
        <f ca="1">C39</f>
        <v>17704</v>
      </c>
      <c r="R69" s="1419" t="s">
        <v>818</v>
      </c>
    </row>
    <row r="70" spans="1:18" s="1383" customFormat="1" ht="13.5" thickBot="1">
      <c r="A70" s="954"/>
      <c r="B70" s="955"/>
      <c r="C70" s="310"/>
      <c r="D70" s="966"/>
      <c r="E70" s="950" t="s">
        <v>766</v>
      </c>
      <c r="F70" s="1054"/>
      <c r="O70" s="1427" t="s">
        <v>412</v>
      </c>
      <c r="P70" s="1466" t="s">
        <v>873</v>
      </c>
      <c r="Q70" s="1419">
        <f ca="1">C13</f>
        <v>81572</v>
      </c>
      <c r="R70" s="1419" t="s">
        <v>818</v>
      </c>
    </row>
    <row r="71" spans="1:18" s="1383" customFormat="1" ht="13.5" thickBot="1">
      <c r="A71" s="971" t="s">
        <v>396</v>
      </c>
      <c r="B71" s="972" t="s">
        <v>776</v>
      </c>
      <c r="C71" s="336">
        <f ca="1">ROUND(C68/F71,0)</f>
        <v>-1335</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5302</v>
      </c>
      <c r="D75" s="1383"/>
      <c r="E75" s="1383"/>
      <c r="F75" s="1383"/>
      <c r="K75" s="1401"/>
      <c r="L75" s="1383"/>
      <c r="O75" s="1417" t="s">
        <v>409</v>
      </c>
      <c r="P75" s="1418" t="s">
        <v>838</v>
      </c>
      <c r="Q75" s="1419">
        <f ca="1">Q65+Q66</f>
        <v>376702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0.70100000000000007</v>
      </c>
    </row>
    <row r="80" spans="1:18">
      <c r="B80" s="340" t="s">
        <v>800</v>
      </c>
      <c r="C80" s="274">
        <f ca="1">ROUND(C75/C39,3)</f>
        <v>0.29899999999999999</v>
      </c>
    </row>
    <row r="81" spans="2:3">
      <c r="B81" s="270" t="s">
        <v>801</v>
      </c>
      <c r="C81" s="238"/>
    </row>
    <row r="82" spans="2:3">
      <c r="B82" s="273" t="s">
        <v>802</v>
      </c>
      <c r="C82" s="275">
        <f ca="1">1-C83</f>
        <v>0.78300000000000003</v>
      </c>
    </row>
    <row r="83" spans="2:3">
      <c r="B83" s="273" t="s">
        <v>803</v>
      </c>
      <c r="C83" s="274">
        <f ca="1">ROUND(C13/C40,3)</f>
        <v>0.217</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K3:N19"/>
  <sheetViews>
    <sheetView workbookViewId="0">
      <selection activeCell="L21" sqref="L21"/>
    </sheetView>
  </sheetViews>
  <sheetFormatPr defaultRowHeight="13.5"/>
  <sheetData>
    <row r="3" spans="11:14">
      <c r="K3" s="3449" t="s">
        <v>3511</v>
      </c>
      <c r="L3" s="3449" t="s">
        <v>3512</v>
      </c>
      <c r="M3" s="3449" t="s">
        <v>3513</v>
      </c>
    </row>
    <row r="4" spans="11:14">
      <c r="K4">
        <v>29000</v>
      </c>
      <c r="L4">
        <v>161.63999999999999</v>
      </c>
      <c r="M4">
        <f>K4/L4</f>
        <v>179.41103687206137</v>
      </c>
    </row>
    <row r="5" spans="11:14">
      <c r="K5">
        <v>19000</v>
      </c>
      <c r="L5">
        <v>161</v>
      </c>
      <c r="M5">
        <f t="shared" ref="M5:M13" si="0">K5/L5</f>
        <v>118.01242236024845</v>
      </c>
    </row>
    <row r="6" spans="11:14">
      <c r="K6">
        <v>25000</v>
      </c>
      <c r="L6">
        <v>179.32</v>
      </c>
      <c r="M6">
        <f t="shared" si="0"/>
        <v>139.41556993084987</v>
      </c>
    </row>
    <row r="7" spans="11:14">
      <c r="K7">
        <v>32000</v>
      </c>
      <c r="L7">
        <v>213</v>
      </c>
      <c r="M7">
        <f t="shared" si="0"/>
        <v>150.23474178403757</v>
      </c>
    </row>
    <row r="8" spans="11:14">
      <c r="K8">
        <v>25500</v>
      </c>
      <c r="L8">
        <v>212</v>
      </c>
      <c r="M8">
        <f t="shared" si="0"/>
        <v>120.28301886792453</v>
      </c>
    </row>
    <row r="9" spans="11:14">
      <c r="K9" s="3512">
        <v>18000</v>
      </c>
      <c r="L9">
        <v>134</v>
      </c>
      <c r="M9">
        <f t="shared" si="0"/>
        <v>134.32835820895522</v>
      </c>
    </row>
    <row r="10" spans="11:14">
      <c r="K10">
        <v>24500</v>
      </c>
      <c r="L10">
        <v>161</v>
      </c>
      <c r="M10">
        <f t="shared" si="0"/>
        <v>152.17391304347825</v>
      </c>
    </row>
    <row r="11" spans="11:14">
      <c r="K11">
        <v>15600</v>
      </c>
      <c r="L11">
        <v>137</v>
      </c>
      <c r="M11">
        <f t="shared" si="0"/>
        <v>113.86861313868613</v>
      </c>
    </row>
    <row r="12" spans="11:14">
      <c r="K12">
        <v>21000</v>
      </c>
      <c r="L12">
        <v>168</v>
      </c>
      <c r="M12">
        <f t="shared" si="0"/>
        <v>125</v>
      </c>
    </row>
    <row r="13" spans="11:14">
      <c r="K13">
        <v>18000</v>
      </c>
      <c r="L13">
        <v>137</v>
      </c>
      <c r="M13">
        <f t="shared" si="0"/>
        <v>131.38686131386862</v>
      </c>
    </row>
    <row r="14" spans="11:14">
      <c r="M14" s="3513">
        <f>AVERAGE(M4:M13)</f>
        <v>136.41145355201101</v>
      </c>
      <c r="N14">
        <f>M14*'数据-汇总表'!E19</f>
        <v>24599.077419034147</v>
      </c>
    </row>
    <row r="19" spans="11:11">
      <c r="K19" s="3449"/>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估价对象为北京市房地产，为所有。根据《国有土地使用证》[]，估价对象（分摊）出让国有建设用地使用权面积为0平方米，建筑面积为180.33平方米。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估价对象为北京市房地产,属开发建设的，该项目尚在开发建设中。根据《国有土地使用证》[]，估价对象（分摊）出让国有建设用地使用权面积为0平方米，规划建筑面积为180.33平方米。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2024年3月13日（评估专业人员实地查勘之日）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104.6584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28853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28853</v>
      </c>
      <c r="D8" s="222"/>
      <c r="E8" s="220"/>
      <c r="F8" s="221"/>
      <c r="G8" s="1855"/>
    </row>
    <row r="9" spans="1:8" s="214" customFormat="1" ht="13.5" customHeight="1">
      <c r="A9" s="779" t="s">
        <v>355</v>
      </c>
      <c r="B9" s="224" t="s">
        <v>1478</v>
      </c>
      <c r="C9" s="225">
        <f ca="1">ROUND(D9*E9,0)</f>
        <v>28853</v>
      </c>
      <c r="D9" s="845">
        <f ca="1">IF(B1="",'数据-汇总表'!E5,IF(INDIRECT("'数据-取费表'!c"&amp;$G$1)="住宅",INDIRECT("'数据-取费表'!k"&amp;$G$1),0))</f>
        <v>180.33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36066</v>
      </c>
      <c r="D19" s="849">
        <f ca="1">D9+D10</f>
        <v>180.33</v>
      </c>
      <c r="E19" s="211">
        <f>'数据-取费表'!B31</f>
        <v>200</v>
      </c>
      <c r="F19" s="231"/>
      <c r="G19" s="1855"/>
    </row>
    <row r="20" spans="1:7" s="214" customFormat="1" ht="13.5" customHeight="1">
      <c r="A20" s="255" t="s">
        <v>1574</v>
      </c>
      <c r="B20" s="210" t="s">
        <v>1575</v>
      </c>
      <c r="C20" s="232">
        <f ca="1">ROUND((C5+C19)*F20,0)</f>
        <v>1298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6376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3508</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16554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16554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96825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825912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721320</v>
      </c>
      <c r="D34" s="217"/>
      <c r="E34" s="220"/>
      <c r="F34" s="257"/>
      <c r="G34" s="219"/>
    </row>
    <row r="35" spans="1:7" ht="13.5" customHeight="1">
      <c r="A35" s="780" t="s">
        <v>351</v>
      </c>
      <c r="B35" s="215" t="s">
        <v>1527</v>
      </c>
      <c r="C35" s="220">
        <f ca="1">ROUND(C34*F35,0)</f>
        <v>21640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36066</v>
      </c>
      <c r="D36" s="220"/>
      <c r="E36" s="220"/>
      <c r="F36" s="259">
        <f>'数据-取费表'!B34</f>
        <v>0.05</v>
      </c>
      <c r="G36" s="260" t="s">
        <v>1530</v>
      </c>
    </row>
    <row r="37" spans="1:7" s="258" customFormat="1" ht="13.5" customHeight="1">
      <c r="A37" s="780" t="s">
        <v>353</v>
      </c>
      <c r="B37" s="215" t="s">
        <v>1531</v>
      </c>
      <c r="C37" s="249">
        <f ca="1">ROUND(E37*D37,0)</f>
        <v>36066</v>
      </c>
      <c r="D37" s="217">
        <f ca="1">D19</f>
        <v>180.33</v>
      </c>
      <c r="E37" s="249">
        <f>'数据-取费表'!B35</f>
        <v>200</v>
      </c>
      <c r="F37" s="259"/>
      <c r="G37" s="261"/>
    </row>
    <row r="38" spans="1:7" ht="13.5" customHeight="1">
      <c r="A38" s="780" t="s">
        <v>354</v>
      </c>
      <c r="B38" s="215" t="s">
        <v>1533</v>
      </c>
      <c r="C38" s="220">
        <f ca="1">ROUND(C34*F38,0)</f>
        <v>10820</v>
      </c>
      <c r="D38" s="220"/>
      <c r="E38" s="220"/>
      <c r="F38" s="259">
        <f>'数据-取费表'!B36</f>
        <v>1.4999999999999999E-2</v>
      </c>
      <c r="G38" s="219" t="s">
        <v>1528</v>
      </c>
    </row>
    <row r="39" spans="1:7" s="214" customFormat="1" ht="13.5" customHeight="1">
      <c r="A39" s="255" t="s">
        <v>1534</v>
      </c>
      <c r="B39" s="210" t="s">
        <v>1535</v>
      </c>
      <c r="C39" s="232">
        <f ca="1">ROUND(C33*F20,0)</f>
        <v>16518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40016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39231</v>
      </c>
      <c r="D42" s="238"/>
      <c r="E42" s="238"/>
      <c r="F42" s="239"/>
      <c r="G42" s="3713" t="s">
        <v>1591</v>
      </c>
    </row>
    <row r="43" spans="1:7" ht="13.5" customHeight="1">
      <c r="A43" s="780" t="s">
        <v>347</v>
      </c>
      <c r="B43" s="215" t="s">
        <v>1545</v>
      </c>
      <c r="C43" s="238">
        <f ca="1">ROUND(IF('数据-取费表'!B22&lt;=1,C39*F22*'数据-取费表'!B20/2,C39*(POWER((1+F22),'数据-取费表'!B20/2)-1)),0)</f>
        <v>785</v>
      </c>
      <c r="D43" s="238"/>
      <c r="E43" s="238"/>
      <c r="F43" s="239"/>
      <c r="G43" s="3714"/>
    </row>
    <row r="44" spans="1:7" ht="13.5" customHeight="1">
      <c r="A44" s="780" t="s">
        <v>348</v>
      </c>
      <c r="B44" s="215" t="s">
        <v>1546</v>
      </c>
      <c r="C44" s="238">
        <f ca="1">ROUND(IF('数据-取费表'!B22&lt;=1,C40*F22*'数据-取费表'!B20/2,C40*(POWER((1+F22),'数据-取费表'!B20/2)-1)),4)</f>
        <v>1E-3</v>
      </c>
      <c r="D44" s="238"/>
      <c r="E44" s="238"/>
      <c r="F44" s="239"/>
      <c r="G44" s="3715"/>
    </row>
    <row r="45" spans="1:7" s="214" customFormat="1" ht="13.5" customHeight="1">
      <c r="A45" s="255" t="s">
        <v>1547</v>
      </c>
      <c r="B45" s="244" t="s">
        <v>1513</v>
      </c>
      <c r="C45" s="245">
        <f ca="1">C46</f>
        <v>210608</v>
      </c>
      <c r="D45" s="235">
        <f ca="1">C47</f>
        <v>5.0000000000000001E-3</v>
      </c>
      <c r="E45" s="236" t="s">
        <v>1539</v>
      </c>
      <c r="F45" s="246">
        <f ca="1">F27</f>
        <v>0.25</v>
      </c>
      <c r="G45" s="247" t="s">
        <v>1548</v>
      </c>
    </row>
    <row r="46" spans="1:7" s="214" customFormat="1" ht="13.5" customHeight="1">
      <c r="A46" s="780" t="s">
        <v>346</v>
      </c>
      <c r="B46" s="248" t="s">
        <v>1549</v>
      </c>
      <c r="C46" s="249">
        <f ca="1">ROUND((C33+C39)*F27,0)</f>
        <v>210608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1187199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949759</v>
      </c>
      <c r="D51" s="232"/>
      <c r="E51" s="232"/>
      <c r="F51" s="264"/>
      <c r="G51" s="234" t="s">
        <v>1560</v>
      </c>
    </row>
    <row r="52" spans="1:7" s="208" customFormat="1" ht="16.5" thickBot="1">
      <c r="A52" s="265" t="s">
        <v>1561</v>
      </c>
      <c r="B52" s="266"/>
      <c r="C52" s="267">
        <f ca="1">C31+C51</f>
        <v>1046584</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180.33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180.33</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68" t="s">
        <v>2320</v>
      </c>
      <c r="K2" s="376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70" t="s">
        <v>2330</v>
      </c>
      <c r="K3" s="3771"/>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70" t="s">
        <v>2332</v>
      </c>
      <c r="K4" s="3771"/>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72" t="s">
        <v>2336</v>
      </c>
      <c r="B6" s="3773"/>
      <c r="C6" s="3774"/>
      <c r="D6" s="2869"/>
      <c r="E6" s="2870"/>
      <c r="F6" s="2871"/>
      <c r="G6" s="2872"/>
      <c r="H6" s="2847"/>
      <c r="I6" s="2848"/>
      <c r="J6" s="3775">
        <v>1</v>
      </c>
      <c r="K6" s="377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75"/>
      <c r="K7" s="377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79" t="s">
        <v>2350</v>
      </c>
      <c r="C8" s="3780"/>
      <c r="D8" s="2888" t="s">
        <v>2351</v>
      </c>
      <c r="E8" s="2889" t="s">
        <v>2352</v>
      </c>
      <c r="F8" s="2890" t="s">
        <v>2353</v>
      </c>
      <c r="G8" s="2891"/>
      <c r="H8" s="2847"/>
      <c r="I8" s="2848"/>
      <c r="J8" s="3775"/>
      <c r="K8" s="377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79" t="s">
        <v>2356</v>
      </c>
      <c r="C9" s="3780"/>
      <c r="D9" s="2888">
        <f>ROUND(D6*E9,0)</f>
        <v>0</v>
      </c>
      <c r="E9" s="2892"/>
      <c r="F9" s="2893" t="s">
        <v>2357</v>
      </c>
      <c r="G9" s="2872"/>
      <c r="H9" s="2847"/>
      <c r="I9" s="2848"/>
      <c r="J9" s="3775"/>
      <c r="K9" s="3777"/>
      <c r="L9" s="2882" t="s">
        <v>2358</v>
      </c>
      <c r="M9" s="2883"/>
      <c r="N9" s="2859"/>
      <c r="O9" s="2884"/>
      <c r="P9" s="2884"/>
      <c r="Q9" s="2885">
        <v>365</v>
      </c>
      <c r="R9" s="2886">
        <f t="shared" si="0"/>
        <v>0</v>
      </c>
      <c r="S9" s="2840"/>
      <c r="T9" s="2840"/>
      <c r="U9" s="2840"/>
      <c r="V9" s="2848"/>
    </row>
    <row r="10" spans="1:22" s="2852" customFormat="1" ht="13.15" customHeight="1">
      <c r="A10" s="2887">
        <v>2</v>
      </c>
      <c r="B10" s="3779" t="s">
        <v>2359</v>
      </c>
      <c r="C10" s="3780"/>
      <c r="D10" s="2888">
        <f>ROUND(D6*E10,0)</f>
        <v>0</v>
      </c>
      <c r="E10" s="2892"/>
      <c r="F10" s="2893" t="s">
        <v>2360</v>
      </c>
      <c r="G10" s="2872"/>
      <c r="H10" s="2847"/>
      <c r="I10" s="2848"/>
      <c r="J10" s="3775"/>
      <c r="K10" s="3777"/>
      <c r="L10" s="2882" t="s">
        <v>2361</v>
      </c>
      <c r="M10" s="2883"/>
      <c r="N10" s="2859"/>
      <c r="O10" s="2884"/>
      <c r="P10" s="2884"/>
      <c r="Q10" s="2885">
        <v>365</v>
      </c>
      <c r="R10" s="2886">
        <f t="shared" si="0"/>
        <v>0</v>
      </c>
      <c r="S10" s="2840"/>
      <c r="T10" s="2840"/>
      <c r="U10" s="2840"/>
      <c r="V10" s="2848"/>
    </row>
    <row r="11" spans="1:22" s="2852" customFormat="1" ht="13.15" customHeight="1">
      <c r="A11" s="2887">
        <v>3</v>
      </c>
      <c r="B11" s="3779" t="s">
        <v>2362</v>
      </c>
      <c r="C11" s="3780"/>
      <c r="D11" s="2888">
        <f>D12+D14+D15+D16</f>
        <v>0</v>
      </c>
      <c r="E11" s="2894" t="e">
        <f>D11/D6</f>
        <v>#DIV/0!</v>
      </c>
      <c r="F11" s="2890"/>
      <c r="G11" s="2891"/>
      <c r="H11" s="2847"/>
      <c r="I11" s="2848"/>
      <c r="J11" s="3775"/>
      <c r="K11" s="377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81" t="s">
        <v>2365</v>
      </c>
      <c r="C12" s="3782"/>
      <c r="D12" s="2896">
        <f>ROUND(D13*1.2%*(1-30%),0)</f>
        <v>0</v>
      </c>
      <c r="E12" s="2897">
        <v>1.2E-2</v>
      </c>
      <c r="F12" s="2890" t="s">
        <v>2366</v>
      </c>
      <c r="G12" s="2891"/>
      <c r="H12" s="2847"/>
      <c r="I12" s="2848"/>
      <c r="J12" s="3775"/>
      <c r="K12" s="377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75"/>
      <c r="K13" s="377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81" t="s">
        <v>2371</v>
      </c>
      <c r="C14" s="3782"/>
      <c r="D14" s="2896">
        <f>ROUND(E14*B5/10000,0)</f>
        <v>0</v>
      </c>
      <c r="E14" s="2885"/>
      <c r="F14" s="2890" t="s">
        <v>2372</v>
      </c>
      <c r="G14" s="2891"/>
      <c r="H14" s="2847"/>
      <c r="I14" s="2848"/>
      <c r="J14" s="3775"/>
      <c r="K14" s="377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81" t="s">
        <v>2375</v>
      </c>
      <c r="C15" s="3782"/>
      <c r="D15" s="2896">
        <f>ROUND(D6*E15,0)</f>
        <v>0</v>
      </c>
      <c r="E15" s="2897">
        <v>5.5E-2</v>
      </c>
      <c r="F15" s="2890" t="s">
        <v>2376</v>
      </c>
      <c r="G15" s="2872"/>
      <c r="H15" s="2847"/>
      <c r="I15" s="2848"/>
      <c r="J15" s="3775">
        <v>2</v>
      </c>
      <c r="K15" s="377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81" t="s">
        <v>2384</v>
      </c>
      <c r="C16" s="3782"/>
      <c r="D16" s="2907">
        <f>D6*E16</f>
        <v>0</v>
      </c>
      <c r="E16" s="2908"/>
      <c r="F16" s="2893" t="s">
        <v>2385</v>
      </c>
      <c r="G16" s="2872"/>
      <c r="H16" s="2847"/>
      <c r="I16" s="2848"/>
      <c r="J16" s="3775"/>
      <c r="K16" s="377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83" t="s">
        <v>2387</v>
      </c>
      <c r="C17" s="3784"/>
      <c r="D17" s="2910">
        <f>ROUND(D6*E17,0)</f>
        <v>0</v>
      </c>
      <c r="E17" s="2911"/>
      <c r="F17" s="2912" t="s">
        <v>2388</v>
      </c>
      <c r="G17" s="2872"/>
      <c r="H17" s="2847"/>
      <c r="I17" s="2848"/>
      <c r="J17" s="3775"/>
      <c r="K17" s="377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75"/>
      <c r="K18" s="377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75"/>
      <c r="K19" s="377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5">
        <v>3</v>
      </c>
      <c r="K20" s="377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75"/>
      <c r="K21" s="377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75"/>
      <c r="K22" s="377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75"/>
      <c r="K23" s="377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75"/>
      <c r="K24" s="377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8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8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68" t="s">
        <v>2320</v>
      </c>
      <c r="K32" s="376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70" t="s">
        <v>2330</v>
      </c>
      <c r="K33" s="3771"/>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70" t="s">
        <v>2332</v>
      </c>
      <c r="K34" s="377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75">
        <v>1</v>
      </c>
      <c r="K36" s="377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75"/>
      <c r="K37" s="377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75"/>
      <c r="K38" s="377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75"/>
      <c r="K39" s="377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75"/>
      <c r="K40" s="377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8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1127</v>
      </c>
      <c r="C2" s="1871" t="s">
        <v>1651</v>
      </c>
      <c r="D2" s="1872" t="s">
        <v>1652</v>
      </c>
      <c r="E2" s="2606">
        <f>SUM(E6:E13)</f>
        <v>180.33</v>
      </c>
      <c r="F2" s="2706"/>
      <c r="G2" s="1488"/>
      <c r="H2" s="1488"/>
      <c r="I2" s="1488"/>
      <c r="J2" s="1488"/>
      <c r="K2" s="1488"/>
      <c r="L2" s="1488"/>
      <c r="M2" s="1488"/>
      <c r="N2" s="1488"/>
      <c r="O2" s="1488"/>
      <c r="P2" s="1488"/>
      <c r="Q2" s="1488"/>
      <c r="R2" s="1488"/>
      <c r="S2" s="1488"/>
    </row>
    <row r="3" spans="1:22" ht="15.75">
      <c r="A3" s="1869" t="s">
        <v>686</v>
      </c>
      <c r="B3" s="2600">
        <f ca="1">ROUND(B2*10000/E2,0)</f>
        <v>62497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87" t="s">
        <v>1654</v>
      </c>
      <c r="C5" s="378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1127</v>
      </c>
      <c r="C6" s="1871" t="s">
        <v>1651</v>
      </c>
      <c r="D6" s="2708"/>
      <c r="E6" s="2605">
        <f>IF(OR(A6=0,F6="否"),0,'数据-取费表'!K6+'数据-取费表'!S6)</f>
        <v>180.33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180.33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5" t="s">
        <v>1770</v>
      </c>
      <c r="D4" s="3736"/>
      <c r="E4" s="3737" t="s">
        <v>1771</v>
      </c>
      <c r="F4" s="3738"/>
      <c r="G4" s="3735" t="s">
        <v>1772</v>
      </c>
      <c r="H4" s="3736"/>
      <c r="I4" s="3735" t="s">
        <v>1773</v>
      </c>
      <c r="J4" s="3736"/>
      <c r="K4" s="559" t="s">
        <v>1774</v>
      </c>
      <c r="L4" s="2714"/>
      <c r="M4" s="2715"/>
      <c r="N4" s="2715"/>
      <c r="O4" s="2715"/>
      <c r="P4" s="3739" t="s">
        <v>1775</v>
      </c>
      <c r="Q4" s="3740"/>
      <c r="R4" s="3721" t="s">
        <v>1771</v>
      </c>
      <c r="S4" s="3722"/>
      <c r="T4" s="3721" t="s">
        <v>1772</v>
      </c>
      <c r="U4" s="3722"/>
      <c r="V4" s="3747" t="s">
        <v>1773</v>
      </c>
      <c r="W4" s="3747"/>
      <c r="X4" s="1354"/>
      <c r="Y4" s="3721" t="s">
        <v>1775</v>
      </c>
      <c r="Z4" s="3722"/>
      <c r="AA4" s="3716" t="s">
        <v>1771</v>
      </c>
      <c r="AB4" s="3747" t="s">
        <v>1772</v>
      </c>
      <c r="AC4" s="3716" t="s">
        <v>1773</v>
      </c>
    </row>
    <row r="5" spans="1:29" ht="15">
      <c r="A5" s="358"/>
      <c r="B5" s="359"/>
      <c r="C5" s="3731" t="s">
        <v>1673</v>
      </c>
      <c r="D5" s="3728"/>
      <c r="E5" s="3725" t="s">
        <v>1674</v>
      </c>
      <c r="F5" s="3726"/>
      <c r="G5" s="3731" t="s">
        <v>1675</v>
      </c>
      <c r="H5" s="3728"/>
      <c r="I5" s="3731" t="s">
        <v>1676</v>
      </c>
      <c r="J5" s="3728"/>
      <c r="K5" s="559"/>
      <c r="L5" s="2714"/>
      <c r="M5" s="2715"/>
      <c r="N5" s="2715"/>
      <c r="O5" s="2715"/>
      <c r="P5" s="3741"/>
      <c r="Q5" s="3742"/>
      <c r="R5" s="3723"/>
      <c r="S5" s="3724"/>
      <c r="T5" s="3723"/>
      <c r="U5" s="3724"/>
      <c r="V5" s="3747"/>
      <c r="W5" s="3747"/>
      <c r="X5" s="1354"/>
      <c r="Y5" s="3723"/>
      <c r="Z5" s="3724"/>
      <c r="AA5" s="3717"/>
      <c r="AB5" s="3747"/>
      <c r="AC5" s="3717"/>
    </row>
    <row r="6" spans="1:29" ht="15.75" thickBot="1">
      <c r="A6" s="360"/>
      <c r="B6" s="361"/>
      <c r="C6" s="3729" t="s">
        <v>1677</v>
      </c>
      <c r="D6" s="3730"/>
      <c r="E6" s="3732" t="s">
        <v>1677</v>
      </c>
      <c r="F6" s="3733"/>
      <c r="G6" s="3729" t="s">
        <v>1677</v>
      </c>
      <c r="H6" s="3730"/>
      <c r="I6" s="3729" t="s">
        <v>1677</v>
      </c>
      <c r="J6" s="3730"/>
      <c r="K6" s="559" t="s">
        <v>1678</v>
      </c>
      <c r="L6" s="2714"/>
      <c r="M6" s="2715"/>
      <c r="N6" s="2715"/>
      <c r="O6" s="2715"/>
      <c r="P6" s="3743"/>
      <c r="Q6" s="3744"/>
      <c r="R6" s="3723"/>
      <c r="S6" s="3724"/>
      <c r="T6" s="3745"/>
      <c r="U6" s="3746"/>
      <c r="V6" s="3747"/>
      <c r="W6" s="3747"/>
      <c r="X6" s="1354"/>
      <c r="Y6" s="3745"/>
      <c r="Z6" s="3746"/>
      <c r="AA6" s="3718"/>
      <c r="AB6" s="3747"/>
      <c r="AC6" s="3718"/>
    </row>
    <row r="7" spans="1:29" s="108" customFormat="1" ht="15.75" thickBot="1">
      <c r="A7" s="362" t="s">
        <v>1679</v>
      </c>
      <c r="B7" s="363"/>
      <c r="C7" s="364">
        <f>'数据-取费表'!B2</f>
        <v>45364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9" t="s">
        <v>1680</v>
      </c>
      <c r="Q7" s="3748"/>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4"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4"/>
      <c r="Q11" s="1342" t="str">
        <f t="shared" si="6"/>
        <v>容积率</v>
      </c>
      <c r="R11" s="701" t="s">
        <v>14</v>
      </c>
      <c r="S11" s="702" t="e">
        <f t="shared" si="0"/>
        <v>#N/A</v>
      </c>
      <c r="T11" s="701" t="s">
        <v>14</v>
      </c>
      <c r="U11" s="702" t="e">
        <f t="shared" si="1"/>
        <v>#N/A</v>
      </c>
      <c r="V11" s="701" t="s">
        <v>14</v>
      </c>
      <c r="W11" s="702" t="e">
        <f t="shared" si="2"/>
        <v>#N/A</v>
      </c>
      <c r="X11" s="703"/>
      <c r="Y11" s="368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4"/>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4"/>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4"/>
      <c r="Q14" s="1342">
        <f t="shared" si="6"/>
        <v>111</v>
      </c>
      <c r="R14" s="701" t="s">
        <v>14</v>
      </c>
      <c r="S14" s="702">
        <f t="shared" si="0"/>
        <v>100</v>
      </c>
      <c r="T14" s="701" t="s">
        <v>14</v>
      </c>
      <c r="U14" s="702">
        <f t="shared" si="1"/>
        <v>100</v>
      </c>
      <c r="V14" s="701" t="s">
        <v>14</v>
      </c>
      <c r="W14" s="702">
        <f t="shared" si="2"/>
        <v>100</v>
      </c>
      <c r="X14" s="703"/>
      <c r="Y14" s="368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1" t="s">
        <v>1691</v>
      </c>
      <c r="Q15" s="1351" t="str">
        <f t="shared" si="6"/>
        <v>商业繁华度</v>
      </c>
      <c r="R15" s="705" t="s">
        <v>14</v>
      </c>
      <c r="S15" s="706">
        <f t="shared" si="0"/>
        <v>100</v>
      </c>
      <c r="T15" s="705" t="s">
        <v>14</v>
      </c>
      <c r="U15" s="706">
        <f t="shared" si="1"/>
        <v>100</v>
      </c>
      <c r="V15" s="705" t="s">
        <v>14</v>
      </c>
      <c r="W15" s="706">
        <f t="shared" si="2"/>
        <v>100</v>
      </c>
      <c r="X15" s="1354"/>
      <c r="Y15" s="375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2"/>
      <c r="Q16" s="1351"/>
      <c r="R16" s="705"/>
      <c r="S16" s="706"/>
      <c r="T16" s="705"/>
      <c r="U16" s="706"/>
      <c r="V16" s="705"/>
      <c r="W16" s="706"/>
      <c r="X16" s="1354"/>
      <c r="Y16" s="375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2"/>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2"/>
      <c r="Q18" s="1351"/>
      <c r="R18" s="705"/>
      <c r="S18" s="706"/>
      <c r="T18" s="705"/>
      <c r="U18" s="706"/>
      <c r="V18" s="705"/>
      <c r="W18" s="706"/>
      <c r="X18" s="1354"/>
      <c r="Y18" s="375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2"/>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2"/>
      <c r="Q20" s="1351"/>
      <c r="R20" s="705"/>
      <c r="S20" s="706"/>
      <c r="T20" s="705"/>
      <c r="U20" s="706"/>
      <c r="V20" s="705"/>
      <c r="W20" s="706"/>
      <c r="X20" s="1354"/>
      <c r="Y20" s="375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2"/>
      <c r="Q22" s="1351"/>
      <c r="R22" s="705"/>
      <c r="S22" s="706"/>
      <c r="T22" s="705"/>
      <c r="U22" s="706"/>
      <c r="V22" s="705"/>
      <c r="W22" s="706"/>
      <c r="X22" s="1354"/>
      <c r="Y22" s="375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2"/>
      <c r="Q23" s="1351" t="str">
        <f>B23</f>
        <v>自然及人文环境</v>
      </c>
      <c r="R23" s="705" t="s">
        <v>14</v>
      </c>
      <c r="S23" s="706">
        <f>F23</f>
        <v>100</v>
      </c>
      <c r="T23" s="705" t="s">
        <v>14</v>
      </c>
      <c r="U23" s="706">
        <f>H23</f>
        <v>100</v>
      </c>
      <c r="V23" s="705" t="s">
        <v>14</v>
      </c>
      <c r="W23" s="706">
        <f>J23</f>
        <v>100</v>
      </c>
      <c r="X23" s="1354"/>
      <c r="Y23" s="375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2"/>
      <c r="Q24" s="1351"/>
      <c r="R24" s="705"/>
      <c r="S24" s="706"/>
      <c r="T24" s="705"/>
      <c r="U24" s="706"/>
      <c r="V24" s="705"/>
      <c r="W24" s="706"/>
      <c r="X24" s="1354"/>
      <c r="Y24" s="375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2"/>
      <c r="Q25" s="1351" t="str">
        <f t="shared" ref="Q25:Q46" si="11">B25</f>
        <v>临街状况</v>
      </c>
      <c r="R25" s="705" t="s">
        <v>14</v>
      </c>
      <c r="S25" s="706">
        <f>F25</f>
        <v>100</v>
      </c>
      <c r="T25" s="705" t="s">
        <v>14</v>
      </c>
      <c r="U25" s="706">
        <f>H25</f>
        <v>100</v>
      </c>
      <c r="V25" s="705" t="s">
        <v>14</v>
      </c>
      <c r="W25" s="706">
        <f>J25</f>
        <v>100</v>
      </c>
      <c r="X25" s="1354"/>
      <c r="Y25" s="375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2"/>
      <c r="Q26" s="1351" t="str">
        <f t="shared" si="11"/>
        <v>平面位置/可视性</v>
      </c>
      <c r="R26" s="705" t="s">
        <v>14</v>
      </c>
      <c r="S26" s="706">
        <f>F26</f>
        <v>100</v>
      </c>
      <c r="T26" s="705" t="s">
        <v>14</v>
      </c>
      <c r="U26" s="706">
        <f>H26</f>
        <v>100</v>
      </c>
      <c r="V26" s="705" t="s">
        <v>14</v>
      </c>
      <c r="W26" s="706">
        <f>J26</f>
        <v>100</v>
      </c>
      <c r="X26" s="1354"/>
      <c r="Y26" s="375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2"/>
      <c r="Q27" s="1342" t="str">
        <f t="shared" si="11"/>
        <v>人流量</v>
      </c>
      <c r="R27" s="701" t="s">
        <v>14</v>
      </c>
      <c r="S27" s="702">
        <f>F27</f>
        <v>100</v>
      </c>
      <c r="T27" s="701" t="s">
        <v>14</v>
      </c>
      <c r="U27" s="702">
        <f>H27</f>
        <v>100</v>
      </c>
      <c r="V27" s="701" t="s">
        <v>14</v>
      </c>
      <c r="W27" s="702">
        <f>J27</f>
        <v>100</v>
      </c>
      <c r="X27" s="703"/>
      <c r="Y27" s="375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2"/>
      <c r="Q29" s="1351">
        <f t="shared" si="11"/>
        <v>111</v>
      </c>
      <c r="R29" s="705" t="s">
        <v>14</v>
      </c>
      <c r="S29" s="706">
        <f t="shared" si="12"/>
        <v>100</v>
      </c>
      <c r="T29" s="705" t="s">
        <v>14</v>
      </c>
      <c r="U29" s="706">
        <f t="shared" si="13"/>
        <v>100</v>
      </c>
      <c r="V29" s="705" t="s">
        <v>14</v>
      </c>
      <c r="W29" s="706">
        <f t="shared" si="14"/>
        <v>100</v>
      </c>
      <c r="X29" s="1354"/>
      <c r="Y29" s="375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2"/>
      <c r="Q30" s="1351">
        <f t="shared" si="11"/>
        <v>111</v>
      </c>
      <c r="R30" s="705" t="s">
        <v>14</v>
      </c>
      <c r="S30" s="706">
        <f t="shared" si="12"/>
        <v>100</v>
      </c>
      <c r="T30" s="705" t="s">
        <v>14</v>
      </c>
      <c r="U30" s="706">
        <f t="shared" si="13"/>
        <v>100</v>
      </c>
      <c r="V30" s="705" t="s">
        <v>14</v>
      </c>
      <c r="W30" s="706">
        <f t="shared" si="14"/>
        <v>100</v>
      </c>
      <c r="X30" s="1354"/>
      <c r="Y30" s="375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2"/>
      <c r="Q31" s="1351">
        <f t="shared" si="11"/>
        <v>111</v>
      </c>
      <c r="R31" s="705" t="s">
        <v>14</v>
      </c>
      <c r="S31" s="706">
        <f t="shared" si="12"/>
        <v>100</v>
      </c>
      <c r="T31" s="705" t="s">
        <v>14</v>
      </c>
      <c r="U31" s="706">
        <f t="shared" si="13"/>
        <v>100</v>
      </c>
      <c r="V31" s="705" t="s">
        <v>14</v>
      </c>
      <c r="W31" s="706">
        <f t="shared" si="14"/>
        <v>100</v>
      </c>
      <c r="X31" s="1354"/>
      <c r="Y31" s="375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6" t="s">
        <v>1696</v>
      </c>
      <c r="Q32" s="1351" t="str">
        <f t="shared" si="11"/>
        <v>商业类型</v>
      </c>
      <c r="R32" s="705" t="s">
        <v>14</v>
      </c>
      <c r="S32" s="706">
        <f t="shared" si="12"/>
        <v>100</v>
      </c>
      <c r="T32" s="705" t="s">
        <v>14</v>
      </c>
      <c r="U32" s="706">
        <f t="shared" si="13"/>
        <v>100</v>
      </c>
      <c r="V32" s="705" t="s">
        <v>14</v>
      </c>
      <c r="W32" s="706">
        <f t="shared" si="14"/>
        <v>100</v>
      </c>
      <c r="X32" s="1354"/>
      <c r="Y32" s="375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7"/>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7"/>
      <c r="Q34" s="1351" t="str">
        <f t="shared" si="11"/>
        <v>建筑结构</v>
      </c>
      <c r="R34" s="705" t="s">
        <v>14</v>
      </c>
      <c r="S34" s="706">
        <f t="shared" si="12"/>
        <v>100</v>
      </c>
      <c r="T34" s="705" t="s">
        <v>14</v>
      </c>
      <c r="U34" s="706">
        <f t="shared" si="13"/>
        <v>100</v>
      </c>
      <c r="V34" s="705" t="s">
        <v>14</v>
      </c>
      <c r="W34" s="706">
        <f t="shared" si="14"/>
        <v>100</v>
      </c>
      <c r="X34" s="1354"/>
      <c r="Y34" s="375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7"/>
      <c r="Q35" s="1351" t="str">
        <f t="shared" si="11"/>
        <v>公共部分装修</v>
      </c>
      <c r="R35" s="705" t="s">
        <v>14</v>
      </c>
      <c r="S35" s="706">
        <f t="shared" si="12"/>
        <v>100</v>
      </c>
      <c r="T35" s="705" t="s">
        <v>14</v>
      </c>
      <c r="U35" s="706">
        <f t="shared" si="13"/>
        <v>100</v>
      </c>
      <c r="V35" s="705" t="s">
        <v>14</v>
      </c>
      <c r="W35" s="706">
        <f t="shared" si="14"/>
        <v>100</v>
      </c>
      <c r="X35" s="1354"/>
      <c r="Y35" s="375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7"/>
      <c r="Q36" s="1351" t="str">
        <f t="shared" si="11"/>
        <v>成新度</v>
      </c>
      <c r="R36" s="705" t="s">
        <v>14</v>
      </c>
      <c r="S36" s="706" t="e">
        <f t="shared" si="12"/>
        <v>#N/A</v>
      </c>
      <c r="T36" s="705" t="s">
        <v>14</v>
      </c>
      <c r="U36" s="706" t="e">
        <f t="shared" si="13"/>
        <v>#N/A</v>
      </c>
      <c r="V36" s="705" t="s">
        <v>14</v>
      </c>
      <c r="W36" s="706" t="e">
        <f t="shared" si="14"/>
        <v>#N/A</v>
      </c>
      <c r="X36" s="1354"/>
      <c r="Y36" s="375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7"/>
      <c r="Q37" s="1342"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7" t="s">
        <v>1696</v>
      </c>
      <c r="Q38" s="1351" t="str">
        <f t="shared" si="11"/>
        <v>业态</v>
      </c>
      <c r="R38" s="705" t="s">
        <v>14</v>
      </c>
      <c r="S38" s="706">
        <f t="shared" si="12"/>
        <v>100</v>
      </c>
      <c r="T38" s="705" t="s">
        <v>14</v>
      </c>
      <c r="U38" s="706">
        <f t="shared" si="13"/>
        <v>100</v>
      </c>
      <c r="V38" s="705" t="s">
        <v>14</v>
      </c>
      <c r="W38" s="706">
        <f t="shared" si="14"/>
        <v>100</v>
      </c>
      <c r="X38" s="1354"/>
      <c r="Y38" s="375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7"/>
      <c r="Q39" s="1351" t="str">
        <f t="shared" si="11"/>
        <v>层高</v>
      </c>
      <c r="R39" s="705" t="s">
        <v>14</v>
      </c>
      <c r="S39" s="706">
        <f t="shared" si="12"/>
        <v>100</v>
      </c>
      <c r="T39" s="705" t="s">
        <v>14</v>
      </c>
      <c r="U39" s="706">
        <f t="shared" si="13"/>
        <v>100</v>
      </c>
      <c r="V39" s="705" t="s">
        <v>14</v>
      </c>
      <c r="W39" s="706">
        <f t="shared" si="14"/>
        <v>100</v>
      </c>
      <c r="X39" s="1354"/>
      <c r="Y39" s="375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7"/>
      <c r="Q40" s="1351" t="str">
        <f t="shared" si="11"/>
        <v>单套建筑面积</v>
      </c>
      <c r="R40" s="705" t="s">
        <v>14</v>
      </c>
      <c r="S40" s="706">
        <f t="shared" si="12"/>
        <v>100</v>
      </c>
      <c r="T40" s="705" t="s">
        <v>14</v>
      </c>
      <c r="U40" s="706">
        <f t="shared" si="13"/>
        <v>100</v>
      </c>
      <c r="V40" s="705" t="s">
        <v>14</v>
      </c>
      <c r="W40" s="706">
        <f t="shared" si="14"/>
        <v>100</v>
      </c>
      <c r="X40" s="1354"/>
      <c r="Y40" s="375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7"/>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7"/>
      <c r="Q42" s="1351" t="str">
        <f t="shared" si="11"/>
        <v>内部装修</v>
      </c>
      <c r="R42" s="705" t="s">
        <v>14</v>
      </c>
      <c r="S42" s="706">
        <f t="shared" si="12"/>
        <v>100</v>
      </c>
      <c r="T42" s="705" t="s">
        <v>14</v>
      </c>
      <c r="U42" s="706">
        <f t="shared" si="13"/>
        <v>100</v>
      </c>
      <c r="V42" s="705" t="s">
        <v>14</v>
      </c>
      <c r="W42" s="706">
        <f t="shared" si="14"/>
        <v>100</v>
      </c>
      <c r="X42" s="1354"/>
      <c r="Y42" s="375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7"/>
      <c r="Q43" s="1351" t="str">
        <f t="shared" si="11"/>
        <v>内部装修维护情况</v>
      </c>
      <c r="R43" s="705" t="s">
        <v>14</v>
      </c>
      <c r="S43" s="706">
        <f t="shared" si="12"/>
        <v>100</v>
      </c>
      <c r="T43" s="705" t="s">
        <v>14</v>
      </c>
      <c r="U43" s="706">
        <f t="shared" si="13"/>
        <v>100</v>
      </c>
      <c r="V43" s="705" t="s">
        <v>14</v>
      </c>
      <c r="W43" s="706">
        <f t="shared" si="14"/>
        <v>100</v>
      </c>
      <c r="X43" s="1354"/>
      <c r="Y43" s="375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7"/>
      <c r="Q44" s="1342">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7"/>
      <c r="Q45" s="1351">
        <f t="shared" si="11"/>
        <v>111</v>
      </c>
      <c r="R45" s="705" t="s">
        <v>14</v>
      </c>
      <c r="S45" s="706">
        <f t="shared" si="12"/>
        <v>100</v>
      </c>
      <c r="T45" s="705" t="s">
        <v>14</v>
      </c>
      <c r="U45" s="706">
        <f t="shared" si="13"/>
        <v>100</v>
      </c>
      <c r="V45" s="705" t="s">
        <v>14</v>
      </c>
      <c r="W45" s="706">
        <f t="shared" si="14"/>
        <v>100</v>
      </c>
      <c r="X45" s="1354"/>
      <c r="Y45" s="375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8"/>
      <c r="Q46" s="1351">
        <f t="shared" si="11"/>
        <v>111</v>
      </c>
      <c r="R46" s="705" t="s">
        <v>14</v>
      </c>
      <c r="S46" s="706">
        <f t="shared" si="12"/>
        <v>100</v>
      </c>
      <c r="T46" s="705" t="s">
        <v>14</v>
      </c>
      <c r="U46" s="706">
        <f t="shared" si="13"/>
        <v>100</v>
      </c>
      <c r="V46" s="705" t="s">
        <v>14</v>
      </c>
      <c r="W46" s="706">
        <f t="shared" si="14"/>
        <v>100</v>
      </c>
      <c r="X46" s="1354"/>
      <c r="Y46" s="376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52" t="str">
        <f>A47</f>
        <v>成交单价（元/平方米）</v>
      </c>
      <c r="Q47" s="3752"/>
      <c r="R47" s="3747">
        <f>E47</f>
        <v>0</v>
      </c>
      <c r="S47" s="3747"/>
      <c r="T47" s="3747">
        <f>G47</f>
        <v>0</v>
      </c>
      <c r="U47" s="3747"/>
      <c r="V47" s="3747">
        <f>I47</f>
        <v>0</v>
      </c>
      <c r="W47" s="3747"/>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180.33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5" t="s">
        <v>1770</v>
      </c>
      <c r="D4" s="3736"/>
      <c r="E4" s="3737" t="s">
        <v>1771</v>
      </c>
      <c r="F4" s="3738"/>
      <c r="G4" s="3735" t="s">
        <v>1772</v>
      </c>
      <c r="H4" s="3736"/>
      <c r="I4" s="3735" t="s">
        <v>1773</v>
      </c>
      <c r="J4" s="3736"/>
      <c r="K4" s="559" t="s">
        <v>1774</v>
      </c>
      <c r="L4" s="2714"/>
      <c r="M4" s="2715"/>
      <c r="N4" s="2715"/>
      <c r="O4" s="2715"/>
      <c r="P4" s="3795" t="s">
        <v>1775</v>
      </c>
      <c r="Q4" s="3796"/>
      <c r="R4" s="3790" t="s">
        <v>1771</v>
      </c>
      <c r="S4" s="3791"/>
      <c r="T4" s="3790" t="s">
        <v>1772</v>
      </c>
      <c r="U4" s="3791"/>
      <c r="V4" s="3799" t="s">
        <v>1773</v>
      </c>
      <c r="W4" s="3799"/>
      <c r="X4" s="1957"/>
      <c r="Y4" s="3790" t="s">
        <v>1775</v>
      </c>
      <c r="Z4" s="3791"/>
      <c r="AA4" s="3789" t="s">
        <v>1771</v>
      </c>
      <c r="AB4" s="3789" t="s">
        <v>1772</v>
      </c>
      <c r="AC4" s="3792" t="s">
        <v>1773</v>
      </c>
    </row>
    <row r="5" spans="1:29" ht="15">
      <c r="A5" s="358"/>
      <c r="B5" s="359"/>
      <c r="C5" s="3731" t="s">
        <v>1673</v>
      </c>
      <c r="D5" s="3728"/>
      <c r="E5" s="3725" t="s">
        <v>1674</v>
      </c>
      <c r="F5" s="3726"/>
      <c r="G5" s="3731" t="s">
        <v>1675</v>
      </c>
      <c r="H5" s="3728"/>
      <c r="I5" s="3731" t="s">
        <v>1676</v>
      </c>
      <c r="J5" s="3728"/>
      <c r="K5" s="559"/>
      <c r="L5" s="2714"/>
      <c r="M5" s="2715"/>
      <c r="N5" s="2715"/>
      <c r="O5" s="2715"/>
      <c r="P5" s="3797"/>
      <c r="Q5" s="3742"/>
      <c r="R5" s="3723"/>
      <c r="S5" s="3724"/>
      <c r="T5" s="3723"/>
      <c r="U5" s="3724"/>
      <c r="V5" s="3747"/>
      <c r="W5" s="3747"/>
      <c r="X5" s="1354"/>
      <c r="Y5" s="3723"/>
      <c r="Z5" s="3724"/>
      <c r="AA5" s="3717"/>
      <c r="AB5" s="3717"/>
      <c r="AC5" s="3793"/>
    </row>
    <row r="6" spans="1:29" ht="15.75" thickBot="1">
      <c r="A6" s="360"/>
      <c r="B6" s="361"/>
      <c r="C6" s="3729" t="s">
        <v>1677</v>
      </c>
      <c r="D6" s="3730"/>
      <c r="E6" s="3732" t="s">
        <v>1677</v>
      </c>
      <c r="F6" s="3733"/>
      <c r="G6" s="3729" t="s">
        <v>1677</v>
      </c>
      <c r="H6" s="3730"/>
      <c r="I6" s="3729" t="s">
        <v>1677</v>
      </c>
      <c r="J6" s="3730"/>
      <c r="K6" s="559" t="s">
        <v>1678</v>
      </c>
      <c r="L6" s="2714"/>
      <c r="M6" s="2715"/>
      <c r="N6" s="2715"/>
      <c r="O6" s="2715"/>
      <c r="P6" s="3798"/>
      <c r="Q6" s="3744"/>
      <c r="R6" s="3723"/>
      <c r="S6" s="3724"/>
      <c r="T6" s="3745"/>
      <c r="U6" s="3746"/>
      <c r="V6" s="3747"/>
      <c r="W6" s="3747"/>
      <c r="X6" s="1354"/>
      <c r="Y6" s="3745"/>
      <c r="Z6" s="3746"/>
      <c r="AA6" s="3718"/>
      <c r="AB6" s="3718"/>
      <c r="AC6" s="3794"/>
    </row>
    <row r="7" spans="1:29" s="108" customFormat="1" ht="15.75" thickBot="1">
      <c r="A7" s="362" t="s">
        <v>1679</v>
      </c>
      <c r="B7" s="363"/>
      <c r="C7" s="364">
        <f>'数据-取费表'!B2</f>
        <v>45364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0" t="s">
        <v>1680</v>
      </c>
      <c r="Q7" s="3748"/>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0"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4"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4"/>
      <c r="Q11" s="1342" t="str">
        <f t="shared" si="6"/>
        <v>容积率</v>
      </c>
      <c r="R11" s="701" t="s">
        <v>14</v>
      </c>
      <c r="S11" s="702">
        <f t="shared" si="0"/>
        <v>100</v>
      </c>
      <c r="T11" s="701" t="s">
        <v>14</v>
      </c>
      <c r="U11" s="702">
        <f t="shared" si="1"/>
        <v>100</v>
      </c>
      <c r="V11" s="701" t="s">
        <v>14</v>
      </c>
      <c r="W11" s="702">
        <f t="shared" si="2"/>
        <v>100</v>
      </c>
      <c r="X11" s="703"/>
      <c r="Y11" s="368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4"/>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4"/>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4"/>
      <c r="Q14" s="1342">
        <f t="shared" si="6"/>
        <v>111</v>
      </c>
      <c r="R14" s="701" t="s">
        <v>14</v>
      </c>
      <c r="S14" s="702">
        <f t="shared" si="0"/>
        <v>100</v>
      </c>
      <c r="T14" s="701" t="s">
        <v>14</v>
      </c>
      <c r="U14" s="702">
        <f t="shared" si="1"/>
        <v>100</v>
      </c>
      <c r="V14" s="701" t="s">
        <v>14</v>
      </c>
      <c r="W14" s="702">
        <f t="shared" si="2"/>
        <v>100</v>
      </c>
      <c r="X14" s="703"/>
      <c r="Y14" s="368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1" t="s">
        <v>1691</v>
      </c>
      <c r="Q15" s="1351" t="str">
        <f t="shared" si="6"/>
        <v>办公集聚程度</v>
      </c>
      <c r="R15" s="705" t="s">
        <v>14</v>
      </c>
      <c r="S15" s="706">
        <f t="shared" si="0"/>
        <v>100</v>
      </c>
      <c r="T15" s="705" t="s">
        <v>14</v>
      </c>
      <c r="U15" s="706">
        <f t="shared" si="1"/>
        <v>100</v>
      </c>
      <c r="V15" s="705" t="s">
        <v>14</v>
      </c>
      <c r="W15" s="706">
        <f t="shared" si="2"/>
        <v>100</v>
      </c>
      <c r="X15" s="1354"/>
      <c r="Y15" s="375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2"/>
      <c r="Q16" s="1351"/>
      <c r="R16" s="705"/>
      <c r="S16" s="706"/>
      <c r="T16" s="705"/>
      <c r="U16" s="706"/>
      <c r="V16" s="705"/>
      <c r="W16" s="706"/>
      <c r="X16" s="1354"/>
      <c r="Y16" s="375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2"/>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2"/>
      <c r="Q18" s="1351"/>
      <c r="R18" s="705"/>
      <c r="S18" s="706"/>
      <c r="T18" s="705"/>
      <c r="U18" s="706"/>
      <c r="V18" s="705"/>
      <c r="W18" s="706"/>
      <c r="X18" s="1354"/>
      <c r="Y18" s="375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2"/>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2"/>
      <c r="Q20" s="1351"/>
      <c r="R20" s="705"/>
      <c r="S20" s="706"/>
      <c r="T20" s="705"/>
      <c r="U20" s="706"/>
      <c r="V20" s="705"/>
      <c r="W20" s="706"/>
      <c r="X20" s="1354"/>
      <c r="Y20" s="375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2"/>
      <c r="Q22" s="1351"/>
      <c r="R22" s="705"/>
      <c r="S22" s="706"/>
      <c r="T22" s="705"/>
      <c r="U22" s="706"/>
      <c r="V22" s="705"/>
      <c r="W22" s="706"/>
      <c r="X22" s="1354"/>
      <c r="Y22" s="375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2"/>
      <c r="Q23" s="1351" t="str">
        <f>B23</f>
        <v>环境质量</v>
      </c>
      <c r="R23" s="705" t="s">
        <v>14</v>
      </c>
      <c r="S23" s="706">
        <f>F23</f>
        <v>100</v>
      </c>
      <c r="T23" s="705" t="s">
        <v>14</v>
      </c>
      <c r="U23" s="706">
        <f>H23</f>
        <v>100</v>
      </c>
      <c r="V23" s="705" t="s">
        <v>14</v>
      </c>
      <c r="W23" s="706">
        <f>J23</f>
        <v>100</v>
      </c>
      <c r="X23" s="1354"/>
      <c r="Y23" s="375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2"/>
      <c r="Q24" s="1351"/>
      <c r="R24" s="705"/>
      <c r="S24" s="706"/>
      <c r="T24" s="705"/>
      <c r="U24" s="706"/>
      <c r="V24" s="705"/>
      <c r="W24" s="706"/>
      <c r="X24" s="1354"/>
      <c r="Y24" s="375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2"/>
      <c r="Q25" s="1351" t="str">
        <f>B25</f>
        <v>毗邻道路的类型与等级</v>
      </c>
      <c r="R25" s="705" t="s">
        <v>14</v>
      </c>
      <c r="S25" s="706">
        <f>F25</f>
        <v>100</v>
      </c>
      <c r="T25" s="705" t="s">
        <v>14</v>
      </c>
      <c r="U25" s="706">
        <f>H25</f>
        <v>100</v>
      </c>
      <c r="V25" s="705" t="s">
        <v>14</v>
      </c>
      <c r="W25" s="706">
        <f>J25</f>
        <v>100</v>
      </c>
      <c r="X25" s="1354"/>
      <c r="Y25" s="375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2"/>
      <c r="Q26" s="1351"/>
      <c r="R26" s="705"/>
      <c r="S26" s="706"/>
      <c r="T26" s="705"/>
      <c r="U26" s="706"/>
      <c r="V26" s="705"/>
      <c r="W26" s="706"/>
      <c r="X26" s="1354"/>
      <c r="Y26" s="375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2"/>
      <c r="Q27" s="1351" t="str">
        <f t="shared" ref="Q27:Q47" si="11">B27</f>
        <v>楼层</v>
      </c>
      <c r="R27" s="705" t="s">
        <v>14</v>
      </c>
      <c r="S27" s="706">
        <f>F27</f>
        <v>100</v>
      </c>
      <c r="T27" s="705" t="s">
        <v>14</v>
      </c>
      <c r="U27" s="706">
        <f>H27</f>
        <v>100</v>
      </c>
      <c r="V27" s="705" t="s">
        <v>14</v>
      </c>
      <c r="W27" s="706">
        <f>J27</f>
        <v>100</v>
      </c>
      <c r="X27" s="1354"/>
      <c r="Y27" s="375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2"/>
      <c r="Q28" s="1342" t="str">
        <f t="shared" si="11"/>
        <v>朝向</v>
      </c>
      <c r="R28" s="701" t="s">
        <v>14</v>
      </c>
      <c r="S28" s="702">
        <f>F28</f>
        <v>100</v>
      </c>
      <c r="T28" s="701" t="s">
        <v>14</v>
      </c>
      <c r="U28" s="702">
        <f>H28</f>
        <v>100</v>
      </c>
      <c r="V28" s="701" t="s">
        <v>14</v>
      </c>
      <c r="W28" s="702">
        <f>J28</f>
        <v>100</v>
      </c>
      <c r="X28" s="703"/>
      <c r="Y28" s="375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2"/>
      <c r="Q29" s="1351">
        <f t="shared" si="11"/>
        <v>111</v>
      </c>
      <c r="R29" s="705" t="s">
        <v>14</v>
      </c>
      <c r="S29" s="706">
        <f t="shared" ref="S29:S47" si="12">F29</f>
        <v>100</v>
      </c>
      <c r="T29" s="705" t="s">
        <v>14</v>
      </c>
      <c r="U29" s="706">
        <f t="shared" ref="U29:U47" si="13">H29</f>
        <v>100</v>
      </c>
      <c r="V29" s="705" t="s">
        <v>14</v>
      </c>
      <c r="W29" s="706">
        <f t="shared" ref="W29:W47" si="14">J29</f>
        <v>100</v>
      </c>
      <c r="X29" s="1354"/>
      <c r="Y29" s="375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2"/>
      <c r="Q30" s="1351">
        <f t="shared" si="11"/>
        <v>111</v>
      </c>
      <c r="R30" s="705" t="s">
        <v>14</v>
      </c>
      <c r="S30" s="706">
        <f t="shared" si="12"/>
        <v>100</v>
      </c>
      <c r="T30" s="705" t="s">
        <v>14</v>
      </c>
      <c r="U30" s="706">
        <f t="shared" si="13"/>
        <v>100</v>
      </c>
      <c r="V30" s="705" t="s">
        <v>14</v>
      </c>
      <c r="W30" s="706">
        <f t="shared" si="14"/>
        <v>100</v>
      </c>
      <c r="X30" s="1354"/>
      <c r="Y30" s="375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2"/>
      <c r="Q31" s="1351">
        <f t="shared" si="11"/>
        <v>111</v>
      </c>
      <c r="R31" s="705" t="s">
        <v>14</v>
      </c>
      <c r="S31" s="706">
        <f t="shared" si="12"/>
        <v>100</v>
      </c>
      <c r="T31" s="705" t="s">
        <v>14</v>
      </c>
      <c r="U31" s="706">
        <f t="shared" si="13"/>
        <v>100</v>
      </c>
      <c r="V31" s="705" t="s">
        <v>14</v>
      </c>
      <c r="W31" s="706">
        <f t="shared" si="14"/>
        <v>100</v>
      </c>
      <c r="X31" s="1354"/>
      <c r="Y31" s="375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2"/>
      <c r="Q32" s="1351">
        <f t="shared" si="11"/>
        <v>111</v>
      </c>
      <c r="R32" s="705" t="s">
        <v>14</v>
      </c>
      <c r="S32" s="706">
        <f t="shared" si="12"/>
        <v>100</v>
      </c>
      <c r="T32" s="705" t="s">
        <v>14</v>
      </c>
      <c r="U32" s="706">
        <f t="shared" si="13"/>
        <v>100</v>
      </c>
      <c r="V32" s="705" t="s">
        <v>14</v>
      </c>
      <c r="W32" s="706">
        <f t="shared" si="14"/>
        <v>100</v>
      </c>
      <c r="X32" s="1354"/>
      <c r="Y32" s="375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6" t="s">
        <v>1696</v>
      </c>
      <c r="Q33" s="1351" t="str">
        <f t="shared" si="11"/>
        <v>建筑类型</v>
      </c>
      <c r="R33" s="705" t="s">
        <v>14</v>
      </c>
      <c r="S33" s="706">
        <f t="shared" si="12"/>
        <v>100</v>
      </c>
      <c r="T33" s="705" t="s">
        <v>14</v>
      </c>
      <c r="U33" s="706">
        <f t="shared" si="13"/>
        <v>100</v>
      </c>
      <c r="V33" s="705" t="s">
        <v>14</v>
      </c>
      <c r="W33" s="706">
        <f t="shared" si="14"/>
        <v>100</v>
      </c>
      <c r="X33" s="1354"/>
      <c r="Y33" s="375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7"/>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7"/>
      <c r="Q35" s="1351" t="str">
        <f t="shared" si="11"/>
        <v>建筑结构</v>
      </c>
      <c r="R35" s="705" t="s">
        <v>14</v>
      </c>
      <c r="S35" s="706">
        <f t="shared" si="12"/>
        <v>100</v>
      </c>
      <c r="T35" s="705" t="s">
        <v>14</v>
      </c>
      <c r="U35" s="706">
        <f t="shared" si="13"/>
        <v>100</v>
      </c>
      <c r="V35" s="705" t="s">
        <v>14</v>
      </c>
      <c r="W35" s="706">
        <f t="shared" si="14"/>
        <v>100</v>
      </c>
      <c r="X35" s="1354"/>
      <c r="Y35" s="375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7"/>
      <c r="Q36" s="1351" t="str">
        <f t="shared" si="11"/>
        <v>公共部分装修</v>
      </c>
      <c r="R36" s="705" t="s">
        <v>14</v>
      </c>
      <c r="S36" s="706">
        <f t="shared" si="12"/>
        <v>100</v>
      </c>
      <c r="T36" s="705" t="s">
        <v>14</v>
      </c>
      <c r="U36" s="706">
        <f t="shared" si="13"/>
        <v>100</v>
      </c>
      <c r="V36" s="705" t="s">
        <v>14</v>
      </c>
      <c r="W36" s="706">
        <f t="shared" si="14"/>
        <v>100</v>
      </c>
      <c r="X36" s="1354"/>
      <c r="Y36" s="375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7"/>
      <c r="Q37" s="1351" t="str">
        <f t="shared" si="11"/>
        <v>成新度</v>
      </c>
      <c r="R37" s="705" t="s">
        <v>14</v>
      </c>
      <c r="S37" s="706" t="e">
        <f t="shared" si="12"/>
        <v>#N/A</v>
      </c>
      <c r="T37" s="705" t="s">
        <v>14</v>
      </c>
      <c r="U37" s="706" t="e">
        <f t="shared" si="13"/>
        <v>#N/A</v>
      </c>
      <c r="V37" s="705" t="s">
        <v>14</v>
      </c>
      <c r="W37" s="706" t="e">
        <f t="shared" si="14"/>
        <v>#N/A</v>
      </c>
      <c r="X37" s="1354"/>
      <c r="Y37" s="375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7"/>
      <c r="Q38" s="1342"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7" t="s">
        <v>1696</v>
      </c>
      <c r="Q39" s="1351" t="str">
        <f t="shared" si="11"/>
        <v>物业管理</v>
      </c>
      <c r="R39" s="705" t="s">
        <v>14</v>
      </c>
      <c r="S39" s="706">
        <f t="shared" si="12"/>
        <v>100</v>
      </c>
      <c r="T39" s="705" t="s">
        <v>14</v>
      </c>
      <c r="U39" s="706">
        <f t="shared" si="13"/>
        <v>100</v>
      </c>
      <c r="V39" s="705" t="s">
        <v>14</v>
      </c>
      <c r="W39" s="706">
        <f t="shared" si="14"/>
        <v>100</v>
      </c>
      <c r="X39" s="1354"/>
      <c r="Y39" s="375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7"/>
      <c r="Q40" s="1351" t="str">
        <f t="shared" si="11"/>
        <v>市政基础设施</v>
      </c>
      <c r="R40" s="705" t="s">
        <v>14</v>
      </c>
      <c r="S40" s="706">
        <f t="shared" si="12"/>
        <v>100</v>
      </c>
      <c r="T40" s="705" t="s">
        <v>14</v>
      </c>
      <c r="U40" s="706">
        <f t="shared" si="13"/>
        <v>100</v>
      </c>
      <c r="V40" s="705" t="s">
        <v>14</v>
      </c>
      <c r="W40" s="706">
        <f t="shared" si="14"/>
        <v>100</v>
      </c>
      <c r="X40" s="1354"/>
      <c r="Y40" s="375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7"/>
      <c r="Q41" s="1351" t="str">
        <f t="shared" si="11"/>
        <v>层高</v>
      </c>
      <c r="R41" s="705" t="s">
        <v>14</v>
      </c>
      <c r="S41" s="706">
        <f t="shared" si="12"/>
        <v>100</v>
      </c>
      <c r="T41" s="705" t="s">
        <v>14</v>
      </c>
      <c r="U41" s="706">
        <f t="shared" si="13"/>
        <v>100</v>
      </c>
      <c r="V41" s="705" t="s">
        <v>14</v>
      </c>
      <c r="W41" s="706">
        <f t="shared" si="14"/>
        <v>100</v>
      </c>
      <c r="X41" s="1354"/>
      <c r="Y41" s="375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7"/>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7"/>
      <c r="Q43" s="1351" t="str">
        <f t="shared" si="11"/>
        <v>内部装修</v>
      </c>
      <c r="R43" s="705" t="s">
        <v>14</v>
      </c>
      <c r="S43" s="706">
        <f t="shared" si="12"/>
        <v>100</v>
      </c>
      <c r="T43" s="705" t="s">
        <v>14</v>
      </c>
      <c r="U43" s="706">
        <f t="shared" si="13"/>
        <v>100</v>
      </c>
      <c r="V43" s="705" t="s">
        <v>14</v>
      </c>
      <c r="W43" s="706">
        <f t="shared" si="14"/>
        <v>100</v>
      </c>
      <c r="X43" s="1354"/>
      <c r="Y43" s="375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7"/>
      <c r="Q44" s="1351" t="str">
        <f t="shared" si="11"/>
        <v>内部装修维护情况</v>
      </c>
      <c r="R44" s="705" t="s">
        <v>14</v>
      </c>
      <c r="S44" s="706">
        <f t="shared" si="12"/>
        <v>100</v>
      </c>
      <c r="T44" s="705" t="s">
        <v>14</v>
      </c>
      <c r="U44" s="706">
        <f t="shared" si="13"/>
        <v>100</v>
      </c>
      <c r="V44" s="705" t="s">
        <v>14</v>
      </c>
      <c r="W44" s="706">
        <f t="shared" si="14"/>
        <v>100</v>
      </c>
      <c r="X44" s="1354"/>
      <c r="Y44" s="375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7"/>
      <c r="Q45" s="1342">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7"/>
      <c r="Q46" s="1351">
        <f t="shared" si="11"/>
        <v>111</v>
      </c>
      <c r="R46" s="705" t="s">
        <v>14</v>
      </c>
      <c r="S46" s="706">
        <f t="shared" si="12"/>
        <v>100</v>
      </c>
      <c r="T46" s="705" t="s">
        <v>14</v>
      </c>
      <c r="U46" s="706">
        <f t="shared" si="13"/>
        <v>100</v>
      </c>
      <c r="V46" s="705" t="s">
        <v>14</v>
      </c>
      <c r="W46" s="706">
        <f t="shared" si="14"/>
        <v>100</v>
      </c>
      <c r="X46" s="1354"/>
      <c r="Y46" s="375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8"/>
      <c r="Q47" s="1351">
        <f t="shared" si="11"/>
        <v>111</v>
      </c>
      <c r="R47" s="705" t="s">
        <v>14</v>
      </c>
      <c r="S47" s="706">
        <f t="shared" si="12"/>
        <v>100</v>
      </c>
      <c r="T47" s="705" t="s">
        <v>14</v>
      </c>
      <c r="U47" s="706">
        <f t="shared" si="13"/>
        <v>100</v>
      </c>
      <c r="V47" s="705" t="s">
        <v>14</v>
      </c>
      <c r="W47" s="706">
        <f t="shared" si="14"/>
        <v>100</v>
      </c>
      <c r="X47" s="1354"/>
      <c r="Y47" s="3760"/>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4" t="str">
        <f>A48</f>
        <v>成交单价（元/平方米）</v>
      </c>
      <c r="Q48" s="3752"/>
      <c r="R48" s="3753">
        <f>E48</f>
        <v>0</v>
      </c>
      <c r="S48" s="3753"/>
      <c r="T48" s="3753">
        <f>G48</f>
        <v>0</v>
      </c>
      <c r="U48" s="3753"/>
      <c r="V48" s="3753">
        <f>I48</f>
        <v>0</v>
      </c>
      <c r="W48" s="3753"/>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4"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801" t="str">
        <f>A50</f>
        <v>估价对象XX用房的比较价值（楼面单价，元/平方米）</v>
      </c>
      <c r="Q50" s="3802"/>
      <c r="R50" s="3803" t="e">
        <f>IF(F1="售价",ROUND(IF(D49="简单平均",AVERAGE(R49:V49),R49*F49+T49*H49+V49*J49),0),ROUND(IF(D49="简单平均",AVERAGE(R49:V49),R49*F49+T49*H49+V49*J49),1))</f>
        <v>#DIV/0!</v>
      </c>
      <c r="S50" s="3803"/>
      <c r="T50" s="3803"/>
      <c r="U50" s="3803"/>
      <c r="V50" s="3803"/>
      <c r="W50" s="380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913"/>
      <c r="M4" s="914"/>
      <c r="N4" s="914"/>
      <c r="O4" s="914"/>
      <c r="P4" s="3739" t="s">
        <v>1775</v>
      </c>
      <c r="Q4" s="3740"/>
      <c r="R4" s="3721" t="s">
        <v>1771</v>
      </c>
      <c r="S4" s="3722"/>
      <c r="T4" s="3721" t="s">
        <v>1772</v>
      </c>
      <c r="U4" s="3722"/>
      <c r="V4" s="3747" t="s">
        <v>1773</v>
      </c>
      <c r="W4" s="3747"/>
      <c r="X4" s="1354"/>
      <c r="Y4" s="3721" t="s">
        <v>1775</v>
      </c>
      <c r="Z4" s="3722"/>
      <c r="AA4" s="3716" t="s">
        <v>1771</v>
      </c>
      <c r="AB4" s="3717" t="s">
        <v>1772</v>
      </c>
      <c r="AC4" s="3716" t="s">
        <v>1773</v>
      </c>
    </row>
    <row r="5" spans="1:29" ht="15">
      <c r="A5" s="358"/>
      <c r="B5" s="359"/>
      <c r="C5" s="3731" t="s">
        <v>1673</v>
      </c>
      <c r="D5" s="3728"/>
      <c r="E5" s="3725" t="s">
        <v>1674</v>
      </c>
      <c r="F5" s="3726"/>
      <c r="G5" s="3731" t="s">
        <v>1675</v>
      </c>
      <c r="H5" s="3728"/>
      <c r="I5" s="3731" t="s">
        <v>1676</v>
      </c>
      <c r="J5" s="3728"/>
      <c r="K5" s="559"/>
      <c r="L5" s="913"/>
      <c r="M5" s="914"/>
      <c r="N5" s="914"/>
      <c r="O5" s="914"/>
      <c r="P5" s="3741"/>
      <c r="Q5" s="3742"/>
      <c r="R5" s="3723"/>
      <c r="S5" s="3724"/>
      <c r="T5" s="3723"/>
      <c r="U5" s="3724"/>
      <c r="V5" s="3747"/>
      <c r="W5" s="3747"/>
      <c r="X5" s="1354"/>
      <c r="Y5" s="3723"/>
      <c r="Z5" s="3724"/>
      <c r="AA5" s="3717"/>
      <c r="AB5" s="3717"/>
      <c r="AC5" s="3717"/>
    </row>
    <row r="6" spans="1:29" ht="15.75" thickBot="1">
      <c r="A6" s="360"/>
      <c r="B6" s="361"/>
      <c r="C6" s="3729" t="s">
        <v>1677</v>
      </c>
      <c r="D6" s="3730"/>
      <c r="E6" s="3732" t="s">
        <v>1677</v>
      </c>
      <c r="F6" s="3733"/>
      <c r="G6" s="3729" t="s">
        <v>1677</v>
      </c>
      <c r="H6" s="3730"/>
      <c r="I6" s="3729" t="s">
        <v>1677</v>
      </c>
      <c r="J6" s="3730"/>
      <c r="K6" s="559" t="s">
        <v>1678</v>
      </c>
      <c r="L6" s="913"/>
      <c r="M6" s="914"/>
      <c r="N6" s="914"/>
      <c r="O6" s="914"/>
      <c r="P6" s="3743"/>
      <c r="Q6" s="3744"/>
      <c r="R6" s="3723"/>
      <c r="S6" s="3724"/>
      <c r="T6" s="3745"/>
      <c r="U6" s="3746"/>
      <c r="V6" s="3747"/>
      <c r="W6" s="3747"/>
      <c r="X6" s="1354"/>
      <c r="Y6" s="3745"/>
      <c r="Z6" s="3746"/>
      <c r="AA6" s="3718"/>
      <c r="AB6" s="3718"/>
      <c r="AC6" s="3718"/>
    </row>
    <row r="7" spans="1:29" s="108" customFormat="1" ht="15.75" thickBot="1">
      <c r="A7" s="362" t="s">
        <v>1679</v>
      </c>
      <c r="B7" s="363"/>
      <c r="C7" s="364">
        <f>'数据-取费表'!B2</f>
        <v>45364</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48"/>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2"/>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2" t="str">
        <f t="shared" si="6"/>
        <v>容积率</v>
      </c>
      <c r="R11" s="701" t="s">
        <v>14</v>
      </c>
      <c r="S11" s="702">
        <f t="shared" si="0"/>
        <v>100</v>
      </c>
      <c r="T11" s="701" t="s">
        <v>14</v>
      </c>
      <c r="U11" s="702">
        <f t="shared" si="1"/>
        <v>100</v>
      </c>
      <c r="V11" s="701" t="s">
        <v>14</v>
      </c>
      <c r="W11" s="702">
        <f t="shared" si="2"/>
        <v>100</v>
      </c>
      <c r="X11" s="703"/>
      <c r="Y11" s="368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52"/>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52"/>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52"/>
      <c r="Q14" s="1342">
        <f t="shared" si="6"/>
        <v>111</v>
      </c>
      <c r="R14" s="701" t="s">
        <v>14</v>
      </c>
      <c r="S14" s="702">
        <f t="shared" si="0"/>
        <v>100</v>
      </c>
      <c r="T14" s="701" t="s">
        <v>14</v>
      </c>
      <c r="U14" s="702">
        <f t="shared" si="1"/>
        <v>100</v>
      </c>
      <c r="V14" s="701" t="s">
        <v>14</v>
      </c>
      <c r="W14" s="702">
        <f t="shared" si="2"/>
        <v>100</v>
      </c>
      <c r="X14" s="703"/>
      <c r="Y14" s="368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4" t="s">
        <v>1691</v>
      </c>
      <c r="Q15" s="1351" t="str">
        <f t="shared" si="6"/>
        <v>产业集聚程度</v>
      </c>
      <c r="R15" s="705" t="s">
        <v>14</v>
      </c>
      <c r="S15" s="706">
        <f t="shared" si="0"/>
        <v>100</v>
      </c>
      <c r="T15" s="705" t="s">
        <v>14</v>
      </c>
      <c r="U15" s="706">
        <f t="shared" si="1"/>
        <v>100</v>
      </c>
      <c r="V15" s="705" t="s">
        <v>14</v>
      </c>
      <c r="W15" s="706">
        <f t="shared" si="2"/>
        <v>100</v>
      </c>
      <c r="X15" s="1354"/>
      <c r="Y15" s="375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5"/>
      <c r="Q16" s="1351"/>
      <c r="R16" s="705"/>
      <c r="S16" s="706"/>
      <c r="T16" s="705"/>
      <c r="U16" s="706"/>
      <c r="V16" s="705"/>
      <c r="W16" s="706"/>
      <c r="X16" s="1354"/>
      <c r="Y16" s="375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5"/>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5"/>
      <c r="Q18" s="1351"/>
      <c r="R18" s="705"/>
      <c r="S18" s="706"/>
      <c r="T18" s="705"/>
      <c r="U18" s="706"/>
      <c r="V18" s="705"/>
      <c r="W18" s="706"/>
      <c r="X18" s="1354"/>
      <c r="Y18" s="375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5"/>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5"/>
      <c r="Q20" s="1351"/>
      <c r="R20" s="705"/>
      <c r="S20" s="706"/>
      <c r="T20" s="705"/>
      <c r="U20" s="706"/>
      <c r="V20" s="705"/>
      <c r="W20" s="706"/>
      <c r="X20" s="1354"/>
      <c r="Y20" s="3755"/>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5"/>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5"/>
      <c r="Q22" s="1351"/>
      <c r="R22" s="705"/>
      <c r="S22" s="706"/>
      <c r="T22" s="705"/>
      <c r="U22" s="706"/>
      <c r="V22" s="705"/>
      <c r="W22" s="706"/>
      <c r="X22" s="1354"/>
      <c r="Y22" s="375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5"/>
      <c r="Q23" s="1351" t="str">
        <f>B23</f>
        <v>环境质量</v>
      </c>
      <c r="R23" s="705" t="s">
        <v>14</v>
      </c>
      <c r="S23" s="706">
        <f>F23</f>
        <v>100</v>
      </c>
      <c r="T23" s="705" t="s">
        <v>14</v>
      </c>
      <c r="U23" s="706">
        <f>H23</f>
        <v>100</v>
      </c>
      <c r="V23" s="705" t="s">
        <v>14</v>
      </c>
      <c r="W23" s="706">
        <f>J23</f>
        <v>100</v>
      </c>
      <c r="X23" s="1354"/>
      <c r="Y23" s="375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5"/>
      <c r="Q24" s="1351"/>
      <c r="R24" s="705"/>
      <c r="S24" s="706"/>
      <c r="T24" s="705"/>
      <c r="U24" s="706"/>
      <c r="V24" s="705"/>
      <c r="W24" s="706"/>
      <c r="X24" s="1354"/>
      <c r="Y24" s="375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5"/>
      <c r="Q25" s="1351">
        <f>B25</f>
        <v>111</v>
      </c>
      <c r="R25" s="705" t="s">
        <v>14</v>
      </c>
      <c r="S25" s="706">
        <f>F25</f>
        <v>100</v>
      </c>
      <c r="T25" s="705" t="s">
        <v>14</v>
      </c>
      <c r="U25" s="706">
        <f>H25</f>
        <v>100</v>
      </c>
      <c r="V25" s="705" t="s">
        <v>14</v>
      </c>
      <c r="W25" s="706">
        <f>J25</f>
        <v>100</v>
      </c>
      <c r="X25" s="1354"/>
      <c r="Y25" s="375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5"/>
      <c r="Q26" s="1351">
        <f t="shared" ref="Q26:Q40" si="11">B26</f>
        <v>111</v>
      </c>
      <c r="R26" s="705" t="s">
        <v>14</v>
      </c>
      <c r="S26" s="706">
        <f>F26</f>
        <v>100</v>
      </c>
      <c r="T26" s="705" t="s">
        <v>14</v>
      </c>
      <c r="U26" s="706">
        <f>H26</f>
        <v>100</v>
      </c>
      <c r="V26" s="705" t="s">
        <v>14</v>
      </c>
      <c r="W26" s="706">
        <f>J26</f>
        <v>100</v>
      </c>
      <c r="X26" s="1354"/>
      <c r="Y26" s="375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5"/>
      <c r="Q27" s="1342">
        <f t="shared" si="11"/>
        <v>111</v>
      </c>
      <c r="R27" s="701" t="s">
        <v>14</v>
      </c>
      <c r="S27" s="702">
        <f>F27</f>
        <v>100</v>
      </c>
      <c r="T27" s="701" t="s">
        <v>14</v>
      </c>
      <c r="U27" s="702">
        <f>H27</f>
        <v>100</v>
      </c>
      <c r="V27" s="701" t="s">
        <v>14</v>
      </c>
      <c r="W27" s="702">
        <f>J27</f>
        <v>100</v>
      </c>
      <c r="X27" s="703"/>
      <c r="Y27" s="375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5"/>
      <c r="Q28" s="1351">
        <f t="shared" si="11"/>
        <v>111</v>
      </c>
      <c r="R28" s="705" t="s">
        <v>14</v>
      </c>
      <c r="S28" s="706">
        <f t="shared" ref="S28:S40" si="12">F28</f>
        <v>100</v>
      </c>
      <c r="T28" s="705" t="s">
        <v>14</v>
      </c>
      <c r="U28" s="706">
        <f t="shared" ref="U28:U40" si="13">H28</f>
        <v>100</v>
      </c>
      <c r="V28" s="705" t="s">
        <v>14</v>
      </c>
      <c r="W28" s="706">
        <f t="shared" ref="W28:W40" si="14">J28</f>
        <v>100</v>
      </c>
      <c r="X28" s="1354"/>
      <c r="Y28" s="375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4" t="s">
        <v>1696</v>
      </c>
      <c r="Q29" s="1351" t="str">
        <f t="shared" si="11"/>
        <v>建筑类型</v>
      </c>
      <c r="R29" s="705" t="s">
        <v>14</v>
      </c>
      <c r="S29" s="706">
        <f t="shared" si="12"/>
        <v>100</v>
      </c>
      <c r="T29" s="705" t="s">
        <v>14</v>
      </c>
      <c r="U29" s="706">
        <f t="shared" si="13"/>
        <v>100</v>
      </c>
      <c r="V29" s="705" t="s">
        <v>14</v>
      </c>
      <c r="W29" s="706">
        <f t="shared" si="14"/>
        <v>100</v>
      </c>
      <c r="X29" s="1354"/>
      <c r="Y29" s="375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9"/>
      <c r="Q30" s="707" t="str">
        <f t="shared" si="11"/>
        <v>项目建筑规模</v>
      </c>
      <c r="R30" s="708" t="s">
        <v>14</v>
      </c>
      <c r="S30" s="709" t="e">
        <f t="shared" si="12"/>
        <v>#N/A</v>
      </c>
      <c r="T30" s="708" t="s">
        <v>14</v>
      </c>
      <c r="U30" s="709" t="e">
        <f t="shared" si="13"/>
        <v>#N/A</v>
      </c>
      <c r="V30" s="708" t="s">
        <v>14</v>
      </c>
      <c r="W30" s="709" t="e">
        <f t="shared" si="14"/>
        <v>#N/A</v>
      </c>
      <c r="X30" s="710"/>
      <c r="Y30" s="375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9"/>
      <c r="Q31" s="1351" t="str">
        <f t="shared" si="11"/>
        <v>建筑结构</v>
      </c>
      <c r="R31" s="705" t="s">
        <v>14</v>
      </c>
      <c r="S31" s="706">
        <f t="shared" si="12"/>
        <v>100</v>
      </c>
      <c r="T31" s="705" t="s">
        <v>14</v>
      </c>
      <c r="U31" s="706">
        <f t="shared" si="13"/>
        <v>100</v>
      </c>
      <c r="V31" s="705" t="s">
        <v>14</v>
      </c>
      <c r="W31" s="706">
        <f t="shared" si="14"/>
        <v>100</v>
      </c>
      <c r="X31" s="1354"/>
      <c r="Y31" s="375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9"/>
      <c r="Q32" s="1351" t="str">
        <f t="shared" si="11"/>
        <v>公共部分装修</v>
      </c>
      <c r="R32" s="705" t="s">
        <v>14</v>
      </c>
      <c r="S32" s="706">
        <f t="shared" si="12"/>
        <v>100</v>
      </c>
      <c r="T32" s="705" t="s">
        <v>14</v>
      </c>
      <c r="U32" s="706">
        <f t="shared" si="13"/>
        <v>100</v>
      </c>
      <c r="V32" s="705" t="s">
        <v>14</v>
      </c>
      <c r="W32" s="706">
        <f t="shared" si="14"/>
        <v>100</v>
      </c>
      <c r="X32" s="1354"/>
      <c r="Y32" s="375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9"/>
      <c r="Q33" s="1351" t="str">
        <f t="shared" si="11"/>
        <v>成新度</v>
      </c>
      <c r="R33" s="705" t="s">
        <v>14</v>
      </c>
      <c r="S33" s="706" t="e">
        <f t="shared" si="12"/>
        <v>#N/A</v>
      </c>
      <c r="T33" s="705" t="s">
        <v>14</v>
      </c>
      <c r="U33" s="706" t="e">
        <f t="shared" si="13"/>
        <v>#N/A</v>
      </c>
      <c r="V33" s="705" t="s">
        <v>14</v>
      </c>
      <c r="W33" s="706" t="e">
        <f t="shared" si="14"/>
        <v>#N/A</v>
      </c>
      <c r="X33" s="1354"/>
      <c r="Y33" s="375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9"/>
      <c r="Q34" s="1342"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9" t="s">
        <v>1696</v>
      </c>
      <c r="Q35" s="1351" t="str">
        <f t="shared" si="11"/>
        <v>市政基础设施</v>
      </c>
      <c r="R35" s="705" t="s">
        <v>14</v>
      </c>
      <c r="S35" s="706">
        <f t="shared" si="12"/>
        <v>100</v>
      </c>
      <c r="T35" s="705" t="s">
        <v>14</v>
      </c>
      <c r="U35" s="706">
        <f t="shared" si="13"/>
        <v>100</v>
      </c>
      <c r="V35" s="705" t="s">
        <v>14</v>
      </c>
      <c r="W35" s="706">
        <f t="shared" si="14"/>
        <v>100</v>
      </c>
      <c r="X35" s="1354"/>
      <c r="Y35" s="375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9"/>
      <c r="Q36" s="1351" t="str">
        <f t="shared" si="11"/>
        <v>内部装修</v>
      </c>
      <c r="R36" s="705" t="s">
        <v>14</v>
      </c>
      <c r="S36" s="706">
        <f t="shared" si="12"/>
        <v>100</v>
      </c>
      <c r="T36" s="705" t="s">
        <v>14</v>
      </c>
      <c r="U36" s="706">
        <f t="shared" si="13"/>
        <v>100</v>
      </c>
      <c r="V36" s="705" t="s">
        <v>14</v>
      </c>
      <c r="W36" s="706">
        <f t="shared" si="14"/>
        <v>100</v>
      </c>
      <c r="X36" s="1354"/>
      <c r="Y36" s="375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9"/>
      <c r="Q37" s="1351" t="str">
        <f t="shared" si="11"/>
        <v>内部装修状况</v>
      </c>
      <c r="R37" s="705" t="s">
        <v>14</v>
      </c>
      <c r="S37" s="706">
        <f t="shared" si="12"/>
        <v>100</v>
      </c>
      <c r="T37" s="705" t="s">
        <v>14</v>
      </c>
      <c r="U37" s="706">
        <f t="shared" si="13"/>
        <v>100</v>
      </c>
      <c r="V37" s="705" t="s">
        <v>14</v>
      </c>
      <c r="W37" s="706">
        <f t="shared" si="14"/>
        <v>100</v>
      </c>
      <c r="X37" s="1354"/>
      <c r="Y37" s="375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9"/>
      <c r="Q38" s="707">
        <f t="shared" si="11"/>
        <v>111</v>
      </c>
      <c r="R38" s="708" t="s">
        <v>14</v>
      </c>
      <c r="S38" s="709">
        <f t="shared" si="12"/>
        <v>100</v>
      </c>
      <c r="T38" s="708" t="s">
        <v>14</v>
      </c>
      <c r="U38" s="709">
        <f t="shared" si="13"/>
        <v>100</v>
      </c>
      <c r="V38" s="708" t="s">
        <v>14</v>
      </c>
      <c r="W38" s="709">
        <f t="shared" si="14"/>
        <v>100</v>
      </c>
      <c r="X38" s="710"/>
      <c r="Y38" s="375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9"/>
      <c r="Q39" s="1351">
        <f t="shared" si="11"/>
        <v>111</v>
      </c>
      <c r="R39" s="705" t="s">
        <v>14</v>
      </c>
      <c r="S39" s="706">
        <f t="shared" si="12"/>
        <v>100</v>
      </c>
      <c r="T39" s="705" t="s">
        <v>14</v>
      </c>
      <c r="U39" s="706">
        <f t="shared" si="13"/>
        <v>100</v>
      </c>
      <c r="V39" s="705" t="s">
        <v>14</v>
      </c>
      <c r="W39" s="706">
        <f t="shared" si="14"/>
        <v>100</v>
      </c>
      <c r="X39" s="1354"/>
      <c r="Y39" s="375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1">
        <f t="shared" si="11"/>
        <v>111</v>
      </c>
      <c r="R40" s="705" t="s">
        <v>14</v>
      </c>
      <c r="S40" s="706">
        <f t="shared" si="12"/>
        <v>100</v>
      </c>
      <c r="T40" s="705" t="s">
        <v>14</v>
      </c>
      <c r="U40" s="706">
        <f t="shared" si="13"/>
        <v>100</v>
      </c>
      <c r="V40" s="705" t="s">
        <v>14</v>
      </c>
      <c r="W40" s="706">
        <f t="shared" si="14"/>
        <v>100</v>
      </c>
      <c r="X40" s="1354"/>
      <c r="Y40" s="376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4"/>
      <c r="M4" s="2715"/>
      <c r="N4" s="2715"/>
      <c r="O4" s="2715"/>
      <c r="P4" s="3739" t="s">
        <v>1775</v>
      </c>
      <c r="Q4" s="3740"/>
      <c r="R4" s="3721" t="s">
        <v>1771</v>
      </c>
      <c r="S4" s="3722"/>
      <c r="T4" s="3721" t="s">
        <v>1772</v>
      </c>
      <c r="U4" s="3722"/>
      <c r="V4" s="3747" t="s">
        <v>1773</v>
      </c>
      <c r="W4" s="3747"/>
      <c r="X4" s="1354"/>
      <c r="Y4" s="3721" t="s">
        <v>1775</v>
      </c>
      <c r="Z4" s="3722"/>
      <c r="AA4" s="3716" t="s">
        <v>1771</v>
      </c>
      <c r="AB4" s="3717" t="s">
        <v>1772</v>
      </c>
      <c r="AC4" s="3716" t="s">
        <v>1773</v>
      </c>
    </row>
    <row r="5" spans="1:29" ht="15">
      <c r="A5" s="358"/>
      <c r="B5" s="359"/>
      <c r="C5" s="3731" t="s">
        <v>1673</v>
      </c>
      <c r="D5" s="3728"/>
      <c r="E5" s="3725" t="s">
        <v>1674</v>
      </c>
      <c r="F5" s="3726"/>
      <c r="G5" s="3731" t="s">
        <v>1675</v>
      </c>
      <c r="H5" s="3728"/>
      <c r="I5" s="3731" t="s">
        <v>1676</v>
      </c>
      <c r="J5" s="3728"/>
      <c r="K5" s="559"/>
      <c r="L5" s="2714"/>
      <c r="M5" s="2715"/>
      <c r="N5" s="2715"/>
      <c r="O5" s="2715"/>
      <c r="P5" s="3741"/>
      <c r="Q5" s="3742"/>
      <c r="R5" s="3723"/>
      <c r="S5" s="3724"/>
      <c r="T5" s="3723"/>
      <c r="U5" s="3724"/>
      <c r="V5" s="3747"/>
      <c r="W5" s="3747"/>
      <c r="X5" s="1354"/>
      <c r="Y5" s="3723"/>
      <c r="Z5" s="3724"/>
      <c r="AA5" s="3717"/>
      <c r="AB5" s="3717"/>
      <c r="AC5" s="3717"/>
    </row>
    <row r="6" spans="1:29" ht="15.75" thickBot="1">
      <c r="A6" s="360"/>
      <c r="B6" s="361"/>
      <c r="C6" s="3729" t="s">
        <v>1677</v>
      </c>
      <c r="D6" s="3730"/>
      <c r="E6" s="3732" t="s">
        <v>1677</v>
      </c>
      <c r="F6" s="3733"/>
      <c r="G6" s="3729" t="s">
        <v>1677</v>
      </c>
      <c r="H6" s="3730"/>
      <c r="I6" s="3729" t="s">
        <v>1677</v>
      </c>
      <c r="J6" s="3730"/>
      <c r="K6" s="559" t="s">
        <v>1678</v>
      </c>
      <c r="L6" s="2714"/>
      <c r="M6" s="2715"/>
      <c r="N6" s="2715"/>
      <c r="O6" s="2715"/>
      <c r="P6" s="3743"/>
      <c r="Q6" s="3744"/>
      <c r="R6" s="3723"/>
      <c r="S6" s="3724"/>
      <c r="T6" s="3745"/>
      <c r="U6" s="3746"/>
      <c r="V6" s="3747"/>
      <c r="W6" s="3747"/>
      <c r="X6" s="1354"/>
      <c r="Y6" s="3745"/>
      <c r="Z6" s="3746"/>
      <c r="AA6" s="3718"/>
      <c r="AB6" s="3718"/>
      <c r="AC6" s="3718"/>
    </row>
    <row r="7" spans="1:29" s="108" customFormat="1" ht="15.75" thickBot="1">
      <c r="A7" s="362" t="s">
        <v>1679</v>
      </c>
      <c r="B7" s="363"/>
      <c r="C7" s="364">
        <f>'数据-取费表'!B2</f>
        <v>45364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9" t="s">
        <v>1680</v>
      </c>
      <c r="Q7" s="3748"/>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2" t="s">
        <v>1686</v>
      </c>
      <c r="Q9" s="1342" t="str">
        <f t="shared" ref="Q9:Q14" si="6">B9</f>
        <v>用途</v>
      </c>
      <c r="R9" s="701" t="s">
        <v>14</v>
      </c>
      <c r="S9" s="702">
        <f t="shared" si="0"/>
        <v>100</v>
      </c>
      <c r="T9" s="701" t="s">
        <v>14</v>
      </c>
      <c r="U9" s="702">
        <f t="shared" si="1"/>
        <v>100</v>
      </c>
      <c r="V9" s="701" t="s">
        <v>14</v>
      </c>
      <c r="W9" s="702">
        <f t="shared" si="2"/>
        <v>100</v>
      </c>
      <c r="X9" s="703"/>
      <c r="Y9" s="368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2"/>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2"/>
      <c r="Q11" s="1342">
        <f t="shared" si="6"/>
        <v>111</v>
      </c>
      <c r="R11" s="701" t="s">
        <v>14</v>
      </c>
      <c r="S11" s="702">
        <f t="shared" si="0"/>
        <v>100</v>
      </c>
      <c r="T11" s="701" t="s">
        <v>14</v>
      </c>
      <c r="U11" s="702">
        <f t="shared" si="1"/>
        <v>100</v>
      </c>
      <c r="V11" s="701" t="s">
        <v>14</v>
      </c>
      <c r="W11" s="702">
        <f t="shared" si="2"/>
        <v>100</v>
      </c>
      <c r="X11" s="703"/>
      <c r="Y11" s="368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2"/>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2"/>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4" t="s">
        <v>1691</v>
      </c>
      <c r="Q14" s="1351" t="str">
        <f t="shared" si="6"/>
        <v>交通便捷度</v>
      </c>
      <c r="R14" s="705" t="s">
        <v>14</v>
      </c>
      <c r="S14" s="706">
        <f t="shared" si="0"/>
        <v>100</v>
      </c>
      <c r="T14" s="705" t="s">
        <v>14</v>
      </c>
      <c r="U14" s="706">
        <f t="shared" si="1"/>
        <v>100</v>
      </c>
      <c r="V14" s="705" t="s">
        <v>14</v>
      </c>
      <c r="W14" s="706">
        <f t="shared" si="2"/>
        <v>100</v>
      </c>
      <c r="X14" s="1354"/>
      <c r="Y14" s="375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55"/>
      <c r="Q15" s="1351"/>
      <c r="R15" s="705"/>
      <c r="S15" s="706"/>
      <c r="T15" s="705"/>
      <c r="U15" s="706"/>
      <c r="V15" s="705"/>
      <c r="W15" s="706"/>
      <c r="X15" s="1354"/>
      <c r="Y15" s="375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5"/>
      <c r="Q16" s="1351" t="str">
        <f>B16</f>
        <v>公共配套设施</v>
      </c>
      <c r="R16" s="705" t="s">
        <v>14</v>
      </c>
      <c r="S16" s="706">
        <f>F16</f>
        <v>100</v>
      </c>
      <c r="T16" s="705" t="s">
        <v>14</v>
      </c>
      <c r="U16" s="706">
        <f>H16</f>
        <v>100</v>
      </c>
      <c r="V16" s="705" t="s">
        <v>14</v>
      </c>
      <c r="W16" s="706">
        <f>J16</f>
        <v>100</v>
      </c>
      <c r="X16" s="1354"/>
      <c r="Y16" s="375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55"/>
      <c r="Q17" s="1351"/>
      <c r="R17" s="705"/>
      <c r="S17" s="706"/>
      <c r="T17" s="705"/>
      <c r="U17" s="706"/>
      <c r="V17" s="705"/>
      <c r="W17" s="706"/>
      <c r="X17" s="1354"/>
      <c r="Y17" s="375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5"/>
      <c r="Q18" s="1351" t="str">
        <f>B18</f>
        <v>基础设施水平</v>
      </c>
      <c r="R18" s="705" t="s">
        <v>14</v>
      </c>
      <c r="S18" s="706">
        <f>F18</f>
        <v>100</v>
      </c>
      <c r="T18" s="705" t="s">
        <v>14</v>
      </c>
      <c r="U18" s="706">
        <f>H18</f>
        <v>100</v>
      </c>
      <c r="V18" s="705" t="s">
        <v>14</v>
      </c>
      <c r="W18" s="706">
        <f>J18</f>
        <v>100</v>
      </c>
      <c r="X18" s="1354"/>
      <c r="Y18" s="375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55"/>
      <c r="Q19" s="1351"/>
      <c r="R19" s="705"/>
      <c r="S19" s="706"/>
      <c r="T19" s="705"/>
      <c r="U19" s="706"/>
      <c r="V19" s="705"/>
      <c r="W19" s="706"/>
      <c r="X19" s="1354"/>
      <c r="Y19" s="375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5"/>
      <c r="Q20" s="1351" t="str">
        <f>B20</f>
        <v>自然及人文环境</v>
      </c>
      <c r="R20" s="705" t="s">
        <v>14</v>
      </c>
      <c r="S20" s="706">
        <f>F20</f>
        <v>100</v>
      </c>
      <c r="T20" s="705" t="s">
        <v>14</v>
      </c>
      <c r="U20" s="706">
        <f>H20</f>
        <v>100</v>
      </c>
      <c r="V20" s="705" t="s">
        <v>14</v>
      </c>
      <c r="W20" s="706">
        <f>J20</f>
        <v>100</v>
      </c>
      <c r="X20" s="1354"/>
      <c r="Y20" s="375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55"/>
      <c r="Q21" s="1351"/>
      <c r="R21" s="705"/>
      <c r="S21" s="706"/>
      <c r="T21" s="705"/>
      <c r="U21" s="706"/>
      <c r="V21" s="705"/>
      <c r="W21" s="706"/>
      <c r="X21" s="1354"/>
      <c r="Y21" s="375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5"/>
      <c r="Q22" s="1351" t="str">
        <f>B22</f>
        <v>楼层</v>
      </c>
      <c r="R22" s="705" t="s">
        <v>14</v>
      </c>
      <c r="S22" s="706">
        <f>F22</f>
        <v>100</v>
      </c>
      <c r="T22" s="705" t="s">
        <v>14</v>
      </c>
      <c r="U22" s="706">
        <f>H22</f>
        <v>100</v>
      </c>
      <c r="V22" s="705" t="s">
        <v>14</v>
      </c>
      <c r="W22" s="706">
        <f>J22</f>
        <v>100</v>
      </c>
      <c r="X22" s="1354"/>
      <c r="Y22" s="375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5"/>
      <c r="Q23" s="1351">
        <f>B23</f>
        <v>111</v>
      </c>
      <c r="R23" s="705" t="s">
        <v>14</v>
      </c>
      <c r="S23" s="706">
        <f>F23</f>
        <v>100</v>
      </c>
      <c r="T23" s="705" t="s">
        <v>14</v>
      </c>
      <c r="U23" s="706">
        <f>H23</f>
        <v>100</v>
      </c>
      <c r="V23" s="705" t="s">
        <v>14</v>
      </c>
      <c r="W23" s="706">
        <f>J23</f>
        <v>100</v>
      </c>
      <c r="X23" s="1354"/>
      <c r="Y23" s="375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5"/>
      <c r="Q24" s="1351">
        <f t="shared" ref="Q24:Q36" si="11">B24</f>
        <v>111</v>
      </c>
      <c r="R24" s="705" t="s">
        <v>14</v>
      </c>
      <c r="S24" s="706">
        <f>F24</f>
        <v>100</v>
      </c>
      <c r="T24" s="705" t="s">
        <v>14</v>
      </c>
      <c r="U24" s="706">
        <f>H24</f>
        <v>100</v>
      </c>
      <c r="V24" s="705" t="s">
        <v>14</v>
      </c>
      <c r="W24" s="706">
        <f>J24</f>
        <v>100</v>
      </c>
      <c r="X24" s="1354"/>
      <c r="Y24" s="375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5"/>
      <c r="Q25" s="1342">
        <f t="shared" si="11"/>
        <v>111</v>
      </c>
      <c r="R25" s="701" t="s">
        <v>14</v>
      </c>
      <c r="S25" s="702">
        <f>F25</f>
        <v>100</v>
      </c>
      <c r="T25" s="701" t="s">
        <v>14</v>
      </c>
      <c r="U25" s="702">
        <f>H25</f>
        <v>100</v>
      </c>
      <c r="V25" s="701" t="s">
        <v>14</v>
      </c>
      <c r="W25" s="702">
        <f>J25</f>
        <v>100</v>
      </c>
      <c r="X25" s="703"/>
      <c r="Y25" s="375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9"/>
      <c r="Q28" s="1351" t="str">
        <f t="shared" si="11"/>
        <v>公共部分装修</v>
      </c>
      <c r="R28" s="705" t="s">
        <v>14</v>
      </c>
      <c r="S28" s="706">
        <f t="shared" si="12"/>
        <v>100</v>
      </c>
      <c r="T28" s="705" t="s">
        <v>14</v>
      </c>
      <c r="U28" s="706">
        <f t="shared" si="13"/>
        <v>100</v>
      </c>
      <c r="V28" s="705" t="s">
        <v>14</v>
      </c>
      <c r="W28" s="706">
        <f t="shared" si="14"/>
        <v>100</v>
      </c>
      <c r="X28" s="1354"/>
      <c r="Y28" s="375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9"/>
      <c r="Q29" s="1351" t="str">
        <f t="shared" si="11"/>
        <v>成新率</v>
      </c>
      <c r="R29" s="705" t="s">
        <v>14</v>
      </c>
      <c r="S29" s="706" t="e">
        <f t="shared" si="12"/>
        <v>#N/A</v>
      </c>
      <c r="T29" s="705" t="s">
        <v>14</v>
      </c>
      <c r="U29" s="706" t="e">
        <f t="shared" si="13"/>
        <v>#N/A</v>
      </c>
      <c r="V29" s="705" t="s">
        <v>14</v>
      </c>
      <c r="W29" s="706" t="e">
        <f t="shared" si="14"/>
        <v>#N/A</v>
      </c>
      <c r="X29" s="1354"/>
      <c r="Y29" s="375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9"/>
      <c r="Q30" s="1351" t="str">
        <f t="shared" si="11"/>
        <v>物业等级</v>
      </c>
      <c r="R30" s="705" t="s">
        <v>14</v>
      </c>
      <c r="S30" s="706">
        <f t="shared" si="12"/>
        <v>100</v>
      </c>
      <c r="T30" s="705" t="s">
        <v>14</v>
      </c>
      <c r="U30" s="706">
        <f t="shared" si="13"/>
        <v>100</v>
      </c>
      <c r="V30" s="705" t="s">
        <v>14</v>
      </c>
      <c r="W30" s="706">
        <f t="shared" si="14"/>
        <v>100</v>
      </c>
      <c r="X30" s="1354"/>
      <c r="Y30" s="375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9"/>
      <c r="Q31" s="1342"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9" t="s">
        <v>1696</v>
      </c>
      <c r="Q32" s="1351" t="str">
        <f t="shared" si="11"/>
        <v>车位类型</v>
      </c>
      <c r="R32" s="705" t="s">
        <v>14</v>
      </c>
      <c r="S32" s="706">
        <f t="shared" si="12"/>
        <v>100</v>
      </c>
      <c r="T32" s="705" t="s">
        <v>14</v>
      </c>
      <c r="U32" s="706">
        <f t="shared" si="13"/>
        <v>100</v>
      </c>
      <c r="V32" s="705" t="s">
        <v>14</v>
      </c>
      <c r="W32" s="706">
        <f t="shared" si="14"/>
        <v>100</v>
      </c>
      <c r="X32" s="1354"/>
      <c r="Y32" s="375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9"/>
      <c r="Q33" s="1351" t="str">
        <f t="shared" si="11"/>
        <v>是否直接入户</v>
      </c>
      <c r="R33" s="705" t="s">
        <v>14</v>
      </c>
      <c r="S33" s="706">
        <f t="shared" si="12"/>
        <v>100</v>
      </c>
      <c r="T33" s="705" t="s">
        <v>14</v>
      </c>
      <c r="U33" s="706">
        <f t="shared" si="13"/>
        <v>100</v>
      </c>
      <c r="V33" s="705" t="s">
        <v>14</v>
      </c>
      <c r="W33" s="706">
        <f t="shared" si="14"/>
        <v>100</v>
      </c>
      <c r="X33" s="1354"/>
      <c r="Y33" s="375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9"/>
      <c r="Q34" s="1351">
        <f t="shared" si="11"/>
        <v>111</v>
      </c>
      <c r="R34" s="705" t="s">
        <v>14</v>
      </c>
      <c r="S34" s="706">
        <f t="shared" si="12"/>
        <v>100</v>
      </c>
      <c r="T34" s="705" t="s">
        <v>14</v>
      </c>
      <c r="U34" s="706">
        <f t="shared" si="13"/>
        <v>100</v>
      </c>
      <c r="V34" s="705" t="s">
        <v>14</v>
      </c>
      <c r="W34" s="706">
        <f t="shared" si="14"/>
        <v>100</v>
      </c>
      <c r="X34" s="1354"/>
      <c r="Y34" s="375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9"/>
      <c r="Q36" s="1351">
        <f t="shared" si="11"/>
        <v>111</v>
      </c>
      <c r="R36" s="705" t="s">
        <v>14</v>
      </c>
      <c r="S36" s="706">
        <f t="shared" si="12"/>
        <v>100</v>
      </c>
      <c r="T36" s="705" t="s">
        <v>14</v>
      </c>
      <c r="U36" s="706">
        <f t="shared" si="13"/>
        <v>100</v>
      </c>
      <c r="V36" s="705" t="s">
        <v>14</v>
      </c>
      <c r="W36" s="706">
        <f t="shared" si="14"/>
        <v>100</v>
      </c>
      <c r="X36" s="1354"/>
      <c r="Y36" s="3759"/>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52" t="str">
        <f>A37</f>
        <v>成交单价</v>
      </c>
      <c r="Q37" s="3752"/>
      <c r="R37" s="3753">
        <f>E37</f>
        <v>0</v>
      </c>
      <c r="S37" s="3753"/>
      <c r="T37" s="3753">
        <f>G37</f>
        <v>0</v>
      </c>
      <c r="U37" s="3753"/>
      <c r="V37" s="3753">
        <f>I37</f>
        <v>0</v>
      </c>
      <c r="W37" s="3753"/>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9" t="str">
        <f>A39</f>
        <v>估价对象XX用房的比较价值（楼面单价，元/平方米）</v>
      </c>
      <c r="Q39" s="3750"/>
      <c r="R39" s="3805" t="e">
        <f>IF(F1="售价",ROUND(IF(D38="简单平均",AVERAGE(R38:W38),R38*F38+T38*H38+V38*J38),0),ROUND(IF(D38="简单平均",AVERAGE(R38:V38),R38*F38+T38*H38+V38*J38),1))</f>
        <v>#DIV/0!</v>
      </c>
      <c r="S39" s="3805"/>
      <c r="T39" s="3805"/>
      <c r="U39" s="3805"/>
      <c r="V39" s="3805"/>
      <c r="W39" s="380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4"/>
      <c r="M4" s="2715"/>
      <c r="N4" s="2715"/>
      <c r="O4" s="2715"/>
      <c r="P4" s="3739" t="s">
        <v>1775</v>
      </c>
      <c r="Q4" s="3740"/>
      <c r="R4" s="3721" t="s">
        <v>1771</v>
      </c>
      <c r="S4" s="3722"/>
      <c r="T4" s="3721" t="s">
        <v>1772</v>
      </c>
      <c r="U4" s="3722"/>
      <c r="V4" s="3747" t="s">
        <v>1773</v>
      </c>
      <c r="W4" s="3747"/>
      <c r="X4" s="1354"/>
      <c r="Y4" s="3721" t="s">
        <v>1775</v>
      </c>
      <c r="Z4" s="3722"/>
      <c r="AA4" s="3716" t="s">
        <v>1771</v>
      </c>
      <c r="AB4" s="3717" t="s">
        <v>1772</v>
      </c>
      <c r="AC4" s="3716" t="s">
        <v>1773</v>
      </c>
    </row>
    <row r="5" spans="1:29" ht="15">
      <c r="A5" s="358"/>
      <c r="B5" s="359"/>
      <c r="C5" s="3731" t="s">
        <v>1673</v>
      </c>
      <c r="D5" s="3728"/>
      <c r="E5" s="3725" t="s">
        <v>1674</v>
      </c>
      <c r="F5" s="3726"/>
      <c r="G5" s="3731" t="s">
        <v>1675</v>
      </c>
      <c r="H5" s="3728"/>
      <c r="I5" s="3731" t="s">
        <v>1676</v>
      </c>
      <c r="J5" s="3728"/>
      <c r="K5" s="559"/>
      <c r="L5" s="2714"/>
      <c r="M5" s="2715"/>
      <c r="N5" s="2715"/>
      <c r="O5" s="2715"/>
      <c r="P5" s="3741"/>
      <c r="Q5" s="3742"/>
      <c r="R5" s="3723"/>
      <c r="S5" s="3724"/>
      <c r="T5" s="3723"/>
      <c r="U5" s="3724"/>
      <c r="V5" s="3747"/>
      <c r="W5" s="3747"/>
      <c r="X5" s="1354"/>
      <c r="Y5" s="3723"/>
      <c r="Z5" s="3724"/>
      <c r="AA5" s="3717"/>
      <c r="AB5" s="3717"/>
      <c r="AC5" s="3717"/>
    </row>
    <row r="6" spans="1:29" ht="15.75" thickBot="1">
      <c r="A6" s="360"/>
      <c r="B6" s="361"/>
      <c r="C6" s="3729" t="s">
        <v>1677</v>
      </c>
      <c r="D6" s="3730"/>
      <c r="E6" s="3732" t="s">
        <v>1677</v>
      </c>
      <c r="F6" s="3733"/>
      <c r="G6" s="3729" t="s">
        <v>1677</v>
      </c>
      <c r="H6" s="3730"/>
      <c r="I6" s="3729" t="s">
        <v>1677</v>
      </c>
      <c r="J6" s="3730"/>
      <c r="K6" s="559" t="s">
        <v>1678</v>
      </c>
      <c r="L6" s="2714"/>
      <c r="M6" s="2715"/>
      <c r="N6" s="2715"/>
      <c r="O6" s="2715"/>
      <c r="P6" s="3743"/>
      <c r="Q6" s="3744"/>
      <c r="R6" s="3723"/>
      <c r="S6" s="3724"/>
      <c r="T6" s="3745"/>
      <c r="U6" s="3746"/>
      <c r="V6" s="3747"/>
      <c r="W6" s="3747"/>
      <c r="X6" s="1354"/>
      <c r="Y6" s="3745"/>
      <c r="Z6" s="3746"/>
      <c r="AA6" s="3718"/>
      <c r="AB6" s="3718"/>
      <c r="AC6" s="3718"/>
    </row>
    <row r="7" spans="1:29" s="108" customFormat="1" ht="15.75" thickBot="1">
      <c r="A7" s="362" t="s">
        <v>1679</v>
      </c>
      <c r="B7" s="363"/>
      <c r="C7" s="364">
        <f>'数据-取费表'!B2</f>
        <v>45364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9" t="s">
        <v>1680</v>
      </c>
      <c r="Q7" s="3748"/>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2" t="s">
        <v>1686</v>
      </c>
      <c r="Q9" s="1342" t="str">
        <f t="shared" ref="Q9:Q14" si="6">B9</f>
        <v>用途</v>
      </c>
      <c r="R9" s="701" t="s">
        <v>14</v>
      </c>
      <c r="S9" s="702">
        <f t="shared" si="0"/>
        <v>100</v>
      </c>
      <c r="T9" s="701" t="s">
        <v>14</v>
      </c>
      <c r="U9" s="702">
        <f t="shared" si="1"/>
        <v>100</v>
      </c>
      <c r="V9" s="701" t="s">
        <v>14</v>
      </c>
      <c r="W9" s="702">
        <f t="shared" si="2"/>
        <v>100</v>
      </c>
      <c r="X9" s="703"/>
      <c r="Y9" s="368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2"/>
      <c r="Q10" s="1342" t="str">
        <f t="shared" si="6"/>
        <v>土地使用年限（年）</v>
      </c>
      <c r="R10" s="701" t="s">
        <v>14</v>
      </c>
      <c r="S10" s="702">
        <f t="shared" si="0"/>
        <v>100</v>
      </c>
      <c r="T10" s="701" t="s">
        <v>14</v>
      </c>
      <c r="U10" s="702">
        <f t="shared" si="1"/>
        <v>100</v>
      </c>
      <c r="V10" s="701" t="s">
        <v>14</v>
      </c>
      <c r="W10" s="702">
        <f t="shared" si="2"/>
        <v>100</v>
      </c>
      <c r="X10" s="703"/>
      <c r="Y10" s="368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2"/>
      <c r="Q11" s="1342">
        <f t="shared" si="6"/>
        <v>111</v>
      </c>
      <c r="R11" s="701" t="s">
        <v>14</v>
      </c>
      <c r="S11" s="702">
        <f t="shared" si="0"/>
        <v>100</v>
      </c>
      <c r="T11" s="701" t="s">
        <v>14</v>
      </c>
      <c r="U11" s="702">
        <f t="shared" si="1"/>
        <v>100</v>
      </c>
      <c r="V11" s="701" t="s">
        <v>14</v>
      </c>
      <c r="W11" s="702">
        <f t="shared" si="2"/>
        <v>100</v>
      </c>
      <c r="X11" s="703"/>
      <c r="Y11" s="368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2"/>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4" t="s">
        <v>1691</v>
      </c>
      <c r="Q14" s="1351" t="str">
        <f t="shared" si="6"/>
        <v>交通便捷度</v>
      </c>
      <c r="R14" s="705" t="s">
        <v>14</v>
      </c>
      <c r="S14" s="706">
        <f t="shared" si="0"/>
        <v>100</v>
      </c>
      <c r="T14" s="705" t="s">
        <v>14</v>
      </c>
      <c r="U14" s="706">
        <f t="shared" si="1"/>
        <v>100</v>
      </c>
      <c r="V14" s="705" t="s">
        <v>14</v>
      </c>
      <c r="W14" s="706">
        <f t="shared" si="2"/>
        <v>100</v>
      </c>
      <c r="X14" s="1354"/>
      <c r="Y14" s="375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55"/>
      <c r="Q15" s="1351"/>
      <c r="R15" s="705"/>
      <c r="S15" s="706"/>
      <c r="T15" s="705"/>
      <c r="U15" s="706"/>
      <c r="V15" s="705"/>
      <c r="W15" s="706"/>
      <c r="X15" s="1354"/>
      <c r="Y15" s="375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5"/>
      <c r="Q16" s="1351" t="str">
        <f>B16</f>
        <v>公共配套设施</v>
      </c>
      <c r="R16" s="705" t="s">
        <v>14</v>
      </c>
      <c r="S16" s="706">
        <f>F16</f>
        <v>100</v>
      </c>
      <c r="T16" s="705" t="s">
        <v>14</v>
      </c>
      <c r="U16" s="706">
        <f>H16</f>
        <v>100</v>
      </c>
      <c r="V16" s="705" t="s">
        <v>14</v>
      </c>
      <c r="W16" s="706">
        <f>J16</f>
        <v>100</v>
      </c>
      <c r="X16" s="1354"/>
      <c r="Y16" s="375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55"/>
      <c r="Q17" s="1351"/>
      <c r="R17" s="705"/>
      <c r="S17" s="706"/>
      <c r="T17" s="705"/>
      <c r="U17" s="706"/>
      <c r="V17" s="705"/>
      <c r="W17" s="706"/>
      <c r="X17" s="1354"/>
      <c r="Y17" s="375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5"/>
      <c r="Q18" s="1351" t="str">
        <f>B18</f>
        <v>基础设施水平</v>
      </c>
      <c r="R18" s="705" t="s">
        <v>14</v>
      </c>
      <c r="S18" s="706">
        <f>F18</f>
        <v>100</v>
      </c>
      <c r="T18" s="705" t="s">
        <v>14</v>
      </c>
      <c r="U18" s="706">
        <f>H18</f>
        <v>100</v>
      </c>
      <c r="V18" s="705" t="s">
        <v>14</v>
      </c>
      <c r="W18" s="706">
        <f>J18</f>
        <v>100</v>
      </c>
      <c r="X18" s="1354"/>
      <c r="Y18" s="375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55"/>
      <c r="Q19" s="1351"/>
      <c r="R19" s="705"/>
      <c r="S19" s="706"/>
      <c r="T19" s="705"/>
      <c r="U19" s="706"/>
      <c r="V19" s="705"/>
      <c r="W19" s="706"/>
      <c r="X19" s="1354"/>
      <c r="Y19" s="375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5"/>
      <c r="Q20" s="1351" t="str">
        <f>B20</f>
        <v>自然及人文环境</v>
      </c>
      <c r="R20" s="705" t="s">
        <v>14</v>
      </c>
      <c r="S20" s="706">
        <f>F20</f>
        <v>100</v>
      </c>
      <c r="T20" s="705" t="s">
        <v>14</v>
      </c>
      <c r="U20" s="706">
        <f>H20</f>
        <v>100</v>
      </c>
      <c r="V20" s="705" t="s">
        <v>14</v>
      </c>
      <c r="W20" s="706">
        <f>J20</f>
        <v>100</v>
      </c>
      <c r="X20" s="1354"/>
      <c r="Y20" s="375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55"/>
      <c r="Q21" s="1351"/>
      <c r="R21" s="705"/>
      <c r="S21" s="706"/>
      <c r="T21" s="705"/>
      <c r="U21" s="706"/>
      <c r="V21" s="705"/>
      <c r="W21" s="706"/>
      <c r="X21" s="1354"/>
      <c r="Y21" s="375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5"/>
      <c r="Q22" s="1351" t="str">
        <f>B22</f>
        <v>楼层</v>
      </c>
      <c r="R22" s="705" t="s">
        <v>14</v>
      </c>
      <c r="S22" s="706">
        <f>F22</f>
        <v>100</v>
      </c>
      <c r="T22" s="705" t="s">
        <v>14</v>
      </c>
      <c r="U22" s="706">
        <f>H22</f>
        <v>100</v>
      </c>
      <c r="V22" s="705" t="s">
        <v>14</v>
      </c>
      <c r="W22" s="706">
        <f>J22</f>
        <v>100</v>
      </c>
      <c r="X22" s="1354"/>
      <c r="Y22" s="375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5"/>
      <c r="Q23" s="1351">
        <f>B23</f>
        <v>111</v>
      </c>
      <c r="R23" s="705" t="s">
        <v>14</v>
      </c>
      <c r="S23" s="706">
        <f>F23</f>
        <v>100</v>
      </c>
      <c r="T23" s="705" t="s">
        <v>14</v>
      </c>
      <c r="U23" s="706">
        <f>H23</f>
        <v>100</v>
      </c>
      <c r="V23" s="705" t="s">
        <v>14</v>
      </c>
      <c r="W23" s="706">
        <f>J23</f>
        <v>100</v>
      </c>
      <c r="X23" s="1354"/>
      <c r="Y23" s="375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5"/>
      <c r="Q24" s="1351">
        <f t="shared" ref="Q24:Q34" si="11">B24</f>
        <v>111</v>
      </c>
      <c r="R24" s="705" t="s">
        <v>14</v>
      </c>
      <c r="S24" s="706">
        <f>F24</f>
        <v>100</v>
      </c>
      <c r="T24" s="705" t="s">
        <v>14</v>
      </c>
      <c r="U24" s="706">
        <f>H24</f>
        <v>100</v>
      </c>
      <c r="V24" s="705" t="s">
        <v>14</v>
      </c>
      <c r="W24" s="706">
        <f>J24</f>
        <v>100</v>
      </c>
      <c r="X24" s="1354"/>
      <c r="Y24" s="375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5"/>
      <c r="Q25" s="1342">
        <f t="shared" si="11"/>
        <v>111</v>
      </c>
      <c r="R25" s="701" t="s">
        <v>14</v>
      </c>
      <c r="S25" s="702">
        <f>F25</f>
        <v>100</v>
      </c>
      <c r="T25" s="701" t="s">
        <v>14</v>
      </c>
      <c r="U25" s="702">
        <f>H25</f>
        <v>100</v>
      </c>
      <c r="V25" s="701" t="s">
        <v>14</v>
      </c>
      <c r="W25" s="702">
        <f>J25</f>
        <v>100</v>
      </c>
      <c r="X25" s="703"/>
      <c r="Y25" s="375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0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9"/>
      <c r="Q27" s="707" t="str">
        <f t="shared" si="11"/>
        <v>成新率</v>
      </c>
      <c r="R27" s="708" t="s">
        <v>14</v>
      </c>
      <c r="S27" s="709" t="e">
        <f t="shared" si="12"/>
        <v>#N/A</v>
      </c>
      <c r="T27" s="708" t="s">
        <v>14</v>
      </c>
      <c r="U27" s="709" t="e">
        <f t="shared" si="13"/>
        <v>#N/A</v>
      </c>
      <c r="V27" s="708" t="s">
        <v>14</v>
      </c>
      <c r="W27" s="709" t="e">
        <f t="shared" si="14"/>
        <v>#N/A</v>
      </c>
      <c r="X27" s="710"/>
      <c r="Y27" s="375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9"/>
      <c r="Q28" s="1351" t="str">
        <f t="shared" si="11"/>
        <v>物业等级</v>
      </c>
      <c r="R28" s="705" t="s">
        <v>14</v>
      </c>
      <c r="S28" s="706">
        <f t="shared" si="12"/>
        <v>100</v>
      </c>
      <c r="T28" s="705" t="s">
        <v>14</v>
      </c>
      <c r="U28" s="706">
        <f t="shared" si="13"/>
        <v>100</v>
      </c>
      <c r="V28" s="705" t="s">
        <v>14</v>
      </c>
      <c r="W28" s="706">
        <f t="shared" si="14"/>
        <v>100</v>
      </c>
      <c r="X28" s="1354"/>
      <c r="Y28" s="375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9"/>
      <c r="Q29" s="1351" t="str">
        <f t="shared" si="11"/>
        <v>有无电梯</v>
      </c>
      <c r="R29" s="705" t="s">
        <v>14</v>
      </c>
      <c r="S29" s="706">
        <f t="shared" si="12"/>
        <v>100</v>
      </c>
      <c r="T29" s="705" t="s">
        <v>14</v>
      </c>
      <c r="U29" s="706">
        <f t="shared" si="13"/>
        <v>100</v>
      </c>
      <c r="V29" s="705" t="s">
        <v>14</v>
      </c>
      <c r="W29" s="706">
        <f t="shared" si="14"/>
        <v>100</v>
      </c>
      <c r="X29" s="1354"/>
      <c r="Y29" s="375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9"/>
      <c r="Q30" s="1351" t="str">
        <f t="shared" si="11"/>
        <v>建筑面积</v>
      </c>
      <c r="R30" s="705" t="s">
        <v>14</v>
      </c>
      <c r="S30" s="706" t="e">
        <f t="shared" si="12"/>
        <v>#N/A</v>
      </c>
      <c r="T30" s="705" t="s">
        <v>14</v>
      </c>
      <c r="U30" s="706" t="e">
        <f t="shared" si="13"/>
        <v>#N/A</v>
      </c>
      <c r="V30" s="705" t="s">
        <v>14</v>
      </c>
      <c r="W30" s="706" t="e">
        <f t="shared" si="14"/>
        <v>#N/A</v>
      </c>
      <c r="X30" s="1354"/>
      <c r="Y30" s="375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9"/>
      <c r="Q31" s="1342"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9" t="s">
        <v>1696</v>
      </c>
      <c r="Q32" s="1351">
        <f t="shared" si="11"/>
        <v>111</v>
      </c>
      <c r="R32" s="705" t="s">
        <v>14</v>
      </c>
      <c r="S32" s="706">
        <f t="shared" si="12"/>
        <v>100</v>
      </c>
      <c r="T32" s="705" t="s">
        <v>14</v>
      </c>
      <c r="U32" s="706">
        <f t="shared" si="13"/>
        <v>100</v>
      </c>
      <c r="V32" s="705" t="s">
        <v>14</v>
      </c>
      <c r="W32" s="706">
        <f t="shared" si="14"/>
        <v>100</v>
      </c>
      <c r="X32" s="1354"/>
      <c r="Y32" s="375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9"/>
      <c r="Q33" s="1351">
        <f t="shared" si="11"/>
        <v>111</v>
      </c>
      <c r="R33" s="705" t="s">
        <v>14</v>
      </c>
      <c r="S33" s="706">
        <f t="shared" si="12"/>
        <v>100</v>
      </c>
      <c r="T33" s="705" t="s">
        <v>14</v>
      </c>
      <c r="U33" s="706">
        <f t="shared" si="13"/>
        <v>100</v>
      </c>
      <c r="V33" s="705" t="s">
        <v>14</v>
      </c>
      <c r="W33" s="706">
        <f t="shared" si="14"/>
        <v>100</v>
      </c>
      <c r="X33" s="1354"/>
      <c r="Y33" s="375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9"/>
      <c r="Q34" s="1351">
        <f t="shared" si="11"/>
        <v>111</v>
      </c>
      <c r="R34" s="705" t="s">
        <v>14</v>
      </c>
      <c r="S34" s="706">
        <f t="shared" si="12"/>
        <v>100</v>
      </c>
      <c r="T34" s="705" t="s">
        <v>14</v>
      </c>
      <c r="U34" s="706">
        <f t="shared" si="13"/>
        <v>100</v>
      </c>
      <c r="V34" s="705" t="s">
        <v>14</v>
      </c>
      <c r="W34" s="706">
        <f t="shared" si="14"/>
        <v>100</v>
      </c>
      <c r="X34" s="1354"/>
      <c r="Y34" s="3759"/>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9" t="str">
        <f>A37</f>
        <v>估价对象XX用房的比较价值（楼面单价，元/平方米）</v>
      </c>
      <c r="Q37" s="3750"/>
      <c r="R37" s="3805" t="e">
        <f>IF(F1="售价",ROUND(IF(D36="简单平均",AVERAGE(R36:W36),R36*F36+T36*H36+V36*J36),0),ROUND(IF(D36="简单平均",AVERAGE(R36:V36),R36*F36+T36*H36+V36*J36),1))</f>
        <v>#DIV/0!</v>
      </c>
      <c r="S37" s="3805"/>
      <c r="T37" s="3805"/>
      <c r="U37" s="3805"/>
      <c r="V37" s="3805"/>
      <c r="W37" s="380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5" t="s">
        <v>1770</v>
      </c>
      <c r="D4" s="3736"/>
      <c r="E4" s="3737" t="s">
        <v>1771</v>
      </c>
      <c r="F4" s="3738"/>
      <c r="G4" s="3735" t="s">
        <v>1772</v>
      </c>
      <c r="H4" s="3736"/>
      <c r="I4" s="3735" t="s">
        <v>1773</v>
      </c>
      <c r="J4" s="3736"/>
      <c r="K4" s="559" t="s">
        <v>1774</v>
      </c>
      <c r="L4" s="2714"/>
      <c r="M4" s="2715"/>
      <c r="N4" s="2715"/>
      <c r="O4" s="2715"/>
      <c r="P4" s="3739" t="s">
        <v>1775</v>
      </c>
      <c r="Q4" s="3740"/>
      <c r="R4" s="3721" t="s">
        <v>1771</v>
      </c>
      <c r="S4" s="3722"/>
      <c r="T4" s="3721" t="s">
        <v>1772</v>
      </c>
      <c r="U4" s="3722"/>
      <c r="V4" s="3747" t="s">
        <v>1773</v>
      </c>
      <c r="W4" s="3747"/>
      <c r="X4" s="1354"/>
      <c r="Y4" s="3721" t="s">
        <v>1775</v>
      </c>
      <c r="Z4" s="3722"/>
      <c r="AA4" s="3716" t="s">
        <v>1771</v>
      </c>
      <c r="AB4" s="3717" t="s">
        <v>1772</v>
      </c>
      <c r="AC4" s="3716" t="s">
        <v>1773</v>
      </c>
    </row>
    <row r="5" spans="1:30" ht="15">
      <c r="A5" s="358"/>
      <c r="B5" s="359"/>
      <c r="C5" s="3731" t="s">
        <v>1673</v>
      </c>
      <c r="D5" s="3728"/>
      <c r="E5" s="3725" t="s">
        <v>1674</v>
      </c>
      <c r="F5" s="3726"/>
      <c r="G5" s="3731" t="s">
        <v>1675</v>
      </c>
      <c r="H5" s="3728"/>
      <c r="I5" s="3731" t="s">
        <v>1676</v>
      </c>
      <c r="J5" s="3728"/>
      <c r="K5" s="559"/>
      <c r="L5" s="2714"/>
      <c r="M5" s="2715"/>
      <c r="N5" s="2715"/>
      <c r="O5" s="2715"/>
      <c r="P5" s="3741"/>
      <c r="Q5" s="3742"/>
      <c r="R5" s="3723"/>
      <c r="S5" s="3724"/>
      <c r="T5" s="3723"/>
      <c r="U5" s="3724"/>
      <c r="V5" s="3747"/>
      <c r="W5" s="3747"/>
      <c r="X5" s="1354"/>
      <c r="Y5" s="3723"/>
      <c r="Z5" s="3724"/>
      <c r="AA5" s="3717"/>
      <c r="AB5" s="3717"/>
      <c r="AC5" s="3717"/>
    </row>
    <row r="6" spans="1:30" ht="15.75" thickBot="1">
      <c r="A6" s="360"/>
      <c r="B6" s="361"/>
      <c r="C6" s="3729" t="s">
        <v>1677</v>
      </c>
      <c r="D6" s="3730"/>
      <c r="E6" s="3732" t="s">
        <v>1677</v>
      </c>
      <c r="F6" s="3733"/>
      <c r="G6" s="3729" t="s">
        <v>1677</v>
      </c>
      <c r="H6" s="3730"/>
      <c r="I6" s="3729" t="s">
        <v>1677</v>
      </c>
      <c r="J6" s="3730"/>
      <c r="K6" s="559" t="s">
        <v>1678</v>
      </c>
      <c r="L6" s="2714"/>
      <c r="M6" s="2715"/>
      <c r="N6" s="2715"/>
      <c r="O6" s="2715"/>
      <c r="P6" s="3743"/>
      <c r="Q6" s="3744"/>
      <c r="R6" s="3723"/>
      <c r="S6" s="3724"/>
      <c r="T6" s="3745"/>
      <c r="U6" s="3746"/>
      <c r="V6" s="3747"/>
      <c r="W6" s="3747"/>
      <c r="X6" s="1354"/>
      <c r="Y6" s="3745"/>
      <c r="Z6" s="3746"/>
      <c r="AA6" s="3718"/>
      <c r="AB6" s="3718"/>
      <c r="AC6" s="3718"/>
    </row>
    <row r="7" spans="1:30" s="108" customFormat="1" ht="15.75" thickBot="1">
      <c r="A7" s="362" t="s">
        <v>1679</v>
      </c>
      <c r="B7" s="363"/>
      <c r="C7" s="364">
        <f>'数据-取费表'!B2</f>
        <v>45364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9" t="s">
        <v>1680</v>
      </c>
      <c r="Q7" s="3748"/>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52"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52"/>
      <c r="Q10" s="1342" t="str">
        <f t="shared" si="6"/>
        <v>土地使用年限（年）</v>
      </c>
      <c r="R10" s="701" t="s">
        <v>14</v>
      </c>
      <c r="S10" s="702">
        <f t="shared" si="0"/>
        <v>110</v>
      </c>
      <c r="T10" s="701" t="s">
        <v>14</v>
      </c>
      <c r="U10" s="702">
        <f t="shared" si="1"/>
        <v>110</v>
      </c>
      <c r="V10" s="701" t="s">
        <v>14</v>
      </c>
      <c r="W10" s="702">
        <f t="shared" si="2"/>
        <v>110</v>
      </c>
      <c r="X10" s="703"/>
      <c r="Y10" s="368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2"/>
      <c r="Q11" s="1342" t="str">
        <f t="shared" si="6"/>
        <v>容积率</v>
      </c>
      <c r="R11" s="701" t="s">
        <v>14</v>
      </c>
      <c r="S11" s="702" t="e">
        <f t="shared" si="0"/>
        <v>#N/A</v>
      </c>
      <c r="T11" s="701" t="s">
        <v>14</v>
      </c>
      <c r="U11" s="702" t="e">
        <f t="shared" si="1"/>
        <v>#N/A</v>
      </c>
      <c r="V11" s="701" t="s">
        <v>14</v>
      </c>
      <c r="W11" s="702" t="e">
        <f t="shared" si="2"/>
        <v>#N/A</v>
      </c>
      <c r="X11" s="703"/>
      <c r="Y11" s="368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2"/>
      <c r="Q12" s="1342" t="str">
        <f t="shared" si="6"/>
        <v>配建</v>
      </c>
      <c r="R12" s="701" t="s">
        <v>14</v>
      </c>
      <c r="S12" s="702">
        <f t="shared" si="0"/>
        <v>100</v>
      </c>
      <c r="T12" s="701" t="s">
        <v>14</v>
      </c>
      <c r="U12" s="702">
        <f t="shared" si="1"/>
        <v>100</v>
      </c>
      <c r="V12" s="701" t="s">
        <v>14</v>
      </c>
      <c r="W12" s="702">
        <f t="shared" si="2"/>
        <v>100</v>
      </c>
      <c r="X12" s="703"/>
      <c r="Y12" s="368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8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2"/>
      <c r="Q14" s="1342">
        <f t="shared" si="6"/>
        <v>111</v>
      </c>
      <c r="R14" s="701" t="s">
        <v>14</v>
      </c>
      <c r="S14" s="702">
        <f t="shared" si="0"/>
        <v>100</v>
      </c>
      <c r="T14" s="701" t="s">
        <v>14</v>
      </c>
      <c r="U14" s="702">
        <f t="shared" si="1"/>
        <v>100</v>
      </c>
      <c r="V14" s="701" t="s">
        <v>14</v>
      </c>
      <c r="W14" s="702">
        <f t="shared" si="2"/>
        <v>100</v>
      </c>
      <c r="X14" s="703"/>
      <c r="Y14" s="368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4" t="s">
        <v>1691</v>
      </c>
      <c r="Q15" s="1351" t="str">
        <f t="shared" si="6"/>
        <v>居住社区成熟度</v>
      </c>
      <c r="R15" s="705" t="s">
        <v>14</v>
      </c>
      <c r="S15" s="706">
        <f t="shared" si="0"/>
        <v>100</v>
      </c>
      <c r="T15" s="705" t="s">
        <v>14</v>
      </c>
      <c r="U15" s="706">
        <f t="shared" si="1"/>
        <v>100</v>
      </c>
      <c r="V15" s="705" t="s">
        <v>14</v>
      </c>
      <c r="W15" s="706">
        <f t="shared" si="2"/>
        <v>100</v>
      </c>
      <c r="X15" s="1354"/>
      <c r="Y15" s="375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55"/>
      <c r="Q16" s="1351"/>
      <c r="R16" s="705"/>
      <c r="S16" s="706"/>
      <c r="T16" s="705"/>
      <c r="U16" s="706"/>
      <c r="V16" s="705"/>
      <c r="W16" s="706"/>
      <c r="X16" s="1354"/>
      <c r="Y16" s="375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55"/>
      <c r="Q17" s="1351" t="str">
        <f>B17</f>
        <v>商业繁华度</v>
      </c>
      <c r="R17" s="705" t="s">
        <v>14</v>
      </c>
      <c r="S17" s="706">
        <f>F17</f>
        <v>100</v>
      </c>
      <c r="T17" s="705" t="s">
        <v>14</v>
      </c>
      <c r="U17" s="706">
        <f>H17</f>
        <v>100</v>
      </c>
      <c r="V17" s="705" t="s">
        <v>14</v>
      </c>
      <c r="W17" s="706">
        <f>J17</f>
        <v>100</v>
      </c>
      <c r="X17" s="1354"/>
      <c r="Y17" s="375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55"/>
      <c r="Q18" s="1351"/>
      <c r="R18" s="705"/>
      <c r="S18" s="706"/>
      <c r="T18" s="705"/>
      <c r="U18" s="706"/>
      <c r="V18" s="705"/>
      <c r="W18" s="706"/>
      <c r="X18" s="1354"/>
      <c r="Y18" s="375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5"/>
      <c r="Q19" s="1351" t="str">
        <f>B19</f>
        <v>办公集聚程度</v>
      </c>
      <c r="R19" s="705" t="s">
        <v>14</v>
      </c>
      <c r="S19" s="706">
        <f>F19</f>
        <v>100</v>
      </c>
      <c r="T19" s="705" t="s">
        <v>14</v>
      </c>
      <c r="U19" s="706">
        <f>H19</f>
        <v>100</v>
      </c>
      <c r="V19" s="705" t="s">
        <v>14</v>
      </c>
      <c r="W19" s="706">
        <f>J19</f>
        <v>100</v>
      </c>
      <c r="X19" s="1354"/>
      <c r="Y19" s="375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55"/>
      <c r="Q20" s="1351"/>
      <c r="R20" s="705"/>
      <c r="S20" s="706"/>
      <c r="T20" s="705"/>
      <c r="U20" s="706"/>
      <c r="V20" s="705"/>
      <c r="W20" s="706"/>
      <c r="X20" s="1354"/>
      <c r="Y20" s="375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55"/>
      <c r="Q21" s="1351" t="str">
        <f>B21</f>
        <v>交通便捷度</v>
      </c>
      <c r="R21" s="705" t="s">
        <v>14</v>
      </c>
      <c r="S21" s="706">
        <f>F21</f>
        <v>100</v>
      </c>
      <c r="T21" s="705" t="s">
        <v>14</v>
      </c>
      <c r="U21" s="706">
        <f>H21</f>
        <v>100</v>
      </c>
      <c r="V21" s="705" t="s">
        <v>14</v>
      </c>
      <c r="W21" s="706">
        <f>J21</f>
        <v>100</v>
      </c>
      <c r="X21" s="1354"/>
      <c r="Y21" s="375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55"/>
      <c r="Q22" s="1351"/>
      <c r="R22" s="705"/>
      <c r="S22" s="706"/>
      <c r="T22" s="705"/>
      <c r="U22" s="706"/>
      <c r="V22" s="705"/>
      <c r="W22" s="706"/>
      <c r="X22" s="1354"/>
      <c r="Y22" s="375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55"/>
      <c r="Q23" s="1351" t="str">
        <f t="shared" ref="Q23:Q37" si="8">B23</f>
        <v>区域土地利用方向</v>
      </c>
      <c r="R23" s="705" t="s">
        <v>14</v>
      </c>
      <c r="S23" s="706">
        <f>F23</f>
        <v>100</v>
      </c>
      <c r="T23" s="705" t="s">
        <v>14</v>
      </c>
      <c r="U23" s="706">
        <f>H23</f>
        <v>100</v>
      </c>
      <c r="V23" s="705" t="s">
        <v>14</v>
      </c>
      <c r="W23" s="706">
        <f>J23</f>
        <v>100</v>
      </c>
      <c r="X23" s="1354"/>
      <c r="Y23" s="375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55"/>
      <c r="Q24" s="1351"/>
      <c r="R24" s="705"/>
      <c r="S24" s="706"/>
      <c r="T24" s="705"/>
      <c r="U24" s="706"/>
      <c r="V24" s="705"/>
      <c r="W24" s="706"/>
      <c r="X24" s="1354"/>
      <c r="Y24" s="3755"/>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55"/>
      <c r="Q25" s="1351" t="str">
        <f t="shared" si="8"/>
        <v>自然及人文环境状况</v>
      </c>
      <c r="R25" s="705" t="s">
        <v>14</v>
      </c>
      <c r="S25" s="706">
        <f>F25</f>
        <v>100</v>
      </c>
      <c r="T25" s="705" t="s">
        <v>14</v>
      </c>
      <c r="U25" s="706">
        <f>H25</f>
        <v>100</v>
      </c>
      <c r="V25" s="705" t="s">
        <v>14</v>
      </c>
      <c r="W25" s="706">
        <f>J25</f>
        <v>100</v>
      </c>
      <c r="X25" s="1354"/>
      <c r="Y25" s="375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55"/>
      <c r="Q26" s="1351"/>
      <c r="R26" s="705"/>
      <c r="S26" s="706"/>
      <c r="T26" s="705"/>
      <c r="U26" s="706"/>
      <c r="V26" s="705"/>
      <c r="W26" s="706"/>
      <c r="X26" s="1354"/>
      <c r="Y26" s="375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55"/>
      <c r="Q27" s="1342" t="str">
        <f t="shared" si="8"/>
        <v>公共配套设施</v>
      </c>
      <c r="R27" s="701" t="s">
        <v>14</v>
      </c>
      <c r="S27" s="702">
        <f>F27</f>
        <v>100</v>
      </c>
      <c r="T27" s="701" t="s">
        <v>14</v>
      </c>
      <c r="U27" s="702">
        <f>H27</f>
        <v>100</v>
      </c>
      <c r="V27" s="701" t="s">
        <v>14</v>
      </c>
      <c r="W27" s="702">
        <f>J27</f>
        <v>100</v>
      </c>
      <c r="X27" s="703"/>
      <c r="Y27" s="375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55"/>
      <c r="Q28" s="1342"/>
      <c r="R28" s="701"/>
      <c r="S28" s="702"/>
      <c r="T28" s="701"/>
      <c r="U28" s="702"/>
      <c r="V28" s="701"/>
      <c r="W28" s="702"/>
      <c r="X28" s="703"/>
      <c r="Y28" s="375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55"/>
      <c r="Q29" s="1342" t="str">
        <f t="shared" ref="Q29" si="9">B29</f>
        <v>基础设施水平</v>
      </c>
      <c r="R29" s="701" t="s">
        <v>14</v>
      </c>
      <c r="S29" s="702">
        <f>F29</f>
        <v>100</v>
      </c>
      <c r="T29" s="701" t="s">
        <v>14</v>
      </c>
      <c r="U29" s="702">
        <f>H29</f>
        <v>100</v>
      </c>
      <c r="V29" s="701" t="s">
        <v>14</v>
      </c>
      <c r="W29" s="702">
        <f>J29</f>
        <v>100</v>
      </c>
      <c r="X29" s="703"/>
      <c r="Y29" s="375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55"/>
      <c r="Q30" s="1342"/>
      <c r="R30" s="701"/>
      <c r="S30" s="702"/>
      <c r="T30" s="701"/>
      <c r="U30" s="702"/>
      <c r="V30" s="701"/>
      <c r="W30" s="702"/>
      <c r="X30" s="703"/>
      <c r="Y30" s="375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5"/>
      <c r="Q32" s="1351" t="str">
        <f t="shared" si="8"/>
        <v>毗邻道路的类型与等级</v>
      </c>
      <c r="R32" s="705" t="s">
        <v>14</v>
      </c>
      <c r="S32" s="706">
        <f t="shared" si="10"/>
        <v>100</v>
      </c>
      <c r="T32" s="705" t="s">
        <v>14</v>
      </c>
      <c r="U32" s="706">
        <f t="shared" si="11"/>
        <v>100</v>
      </c>
      <c r="V32" s="705" t="s">
        <v>14</v>
      </c>
      <c r="W32" s="706">
        <f t="shared" si="12"/>
        <v>100</v>
      </c>
      <c r="X32" s="1354"/>
      <c r="Y32" s="375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55"/>
      <c r="Q33" s="1351"/>
      <c r="R33" s="705"/>
      <c r="S33" s="706"/>
      <c r="T33" s="705"/>
      <c r="U33" s="706"/>
      <c r="V33" s="705"/>
      <c r="W33" s="706"/>
      <c r="X33" s="1354"/>
      <c r="Y33" s="375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5"/>
      <c r="Q34" s="1351" t="str">
        <f t="shared" si="8"/>
        <v>土地级别</v>
      </c>
      <c r="R34" s="705" t="s">
        <v>14</v>
      </c>
      <c r="S34" s="706">
        <f t="shared" si="10"/>
        <v>100</v>
      </c>
      <c r="T34" s="705" t="s">
        <v>14</v>
      </c>
      <c r="U34" s="706">
        <f t="shared" si="11"/>
        <v>100</v>
      </c>
      <c r="V34" s="705" t="s">
        <v>14</v>
      </c>
      <c r="W34" s="706">
        <f t="shared" si="12"/>
        <v>100</v>
      </c>
      <c r="X34" s="1354"/>
      <c r="Y34" s="375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5"/>
      <c r="Q35" s="1351">
        <f t="shared" si="8"/>
        <v>111</v>
      </c>
      <c r="R35" s="705" t="s">
        <v>14</v>
      </c>
      <c r="S35" s="706">
        <f t="shared" si="10"/>
        <v>100</v>
      </c>
      <c r="T35" s="705" t="s">
        <v>14</v>
      </c>
      <c r="U35" s="706">
        <f t="shared" si="11"/>
        <v>100</v>
      </c>
      <c r="V35" s="705" t="s">
        <v>14</v>
      </c>
      <c r="W35" s="706">
        <f t="shared" si="12"/>
        <v>100</v>
      </c>
      <c r="X35" s="1354"/>
      <c r="Y35" s="375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4" t="s">
        <v>1696</v>
      </c>
      <c r="Q36" s="1351">
        <f t="shared" si="8"/>
        <v>111</v>
      </c>
      <c r="R36" s="705" t="s">
        <v>14</v>
      </c>
      <c r="S36" s="706">
        <f t="shared" si="10"/>
        <v>100</v>
      </c>
      <c r="T36" s="705" t="s">
        <v>14</v>
      </c>
      <c r="U36" s="706">
        <f t="shared" si="11"/>
        <v>100</v>
      </c>
      <c r="V36" s="705" t="s">
        <v>14</v>
      </c>
      <c r="W36" s="706">
        <f t="shared" si="12"/>
        <v>100</v>
      </c>
      <c r="X36" s="1354"/>
      <c r="Y36" s="375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9"/>
      <c r="Q37" s="1351">
        <f t="shared" si="8"/>
        <v>111</v>
      </c>
      <c r="R37" s="708" t="s">
        <v>14</v>
      </c>
      <c r="S37" s="709">
        <f t="shared" si="10"/>
        <v>100</v>
      </c>
      <c r="T37" s="708" t="s">
        <v>14</v>
      </c>
      <c r="U37" s="709">
        <f t="shared" si="11"/>
        <v>100</v>
      </c>
      <c r="V37" s="708" t="s">
        <v>14</v>
      </c>
      <c r="W37" s="709">
        <f t="shared" si="12"/>
        <v>100</v>
      </c>
      <c r="X37" s="710"/>
      <c r="Y37" s="375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9"/>
      <c r="Q38" s="1351" t="str">
        <f>B38</f>
        <v>宗地面积</v>
      </c>
      <c r="R38" s="705" t="s">
        <v>14</v>
      </c>
      <c r="S38" s="706" t="e">
        <f t="shared" si="10"/>
        <v>#N/A</v>
      </c>
      <c r="T38" s="705" t="s">
        <v>14</v>
      </c>
      <c r="U38" s="706" t="e">
        <f t="shared" si="11"/>
        <v>#N/A</v>
      </c>
      <c r="V38" s="705" t="s">
        <v>14</v>
      </c>
      <c r="W38" s="706" t="e">
        <f t="shared" si="12"/>
        <v>#N/A</v>
      </c>
      <c r="X38" s="1354"/>
      <c r="Y38" s="375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9"/>
      <c r="Q39" s="1351" t="str">
        <f t="shared" ref="Q39:Q45" si="14">B39</f>
        <v>宗地形状</v>
      </c>
      <c r="R39" s="705" t="s">
        <v>14</v>
      </c>
      <c r="S39" s="706">
        <f t="shared" si="10"/>
        <v>100</v>
      </c>
      <c r="T39" s="705" t="s">
        <v>14</v>
      </c>
      <c r="U39" s="706">
        <f t="shared" si="11"/>
        <v>100</v>
      </c>
      <c r="V39" s="705" t="s">
        <v>14</v>
      </c>
      <c r="W39" s="706">
        <f t="shared" si="12"/>
        <v>100</v>
      </c>
      <c r="X39" s="1354"/>
      <c r="Y39" s="375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9"/>
      <c r="Q40" s="1351" t="str">
        <f t="shared" si="14"/>
        <v>临街宽度及深度</v>
      </c>
      <c r="R40" s="705" t="s">
        <v>14</v>
      </c>
      <c r="S40" s="706">
        <f t="shared" si="10"/>
        <v>100</v>
      </c>
      <c r="T40" s="705" t="s">
        <v>14</v>
      </c>
      <c r="U40" s="706">
        <f t="shared" si="11"/>
        <v>100</v>
      </c>
      <c r="V40" s="705" t="s">
        <v>14</v>
      </c>
      <c r="W40" s="706">
        <f t="shared" si="12"/>
        <v>100</v>
      </c>
      <c r="X40" s="1354"/>
      <c r="Y40" s="375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9"/>
      <c r="Q41" s="1351" t="str">
        <f t="shared" si="14"/>
        <v>宗地开发程度</v>
      </c>
      <c r="R41" s="701" t="s">
        <v>14</v>
      </c>
      <c r="S41" s="702">
        <f t="shared" si="10"/>
        <v>100</v>
      </c>
      <c r="T41" s="701" t="s">
        <v>14</v>
      </c>
      <c r="U41" s="702">
        <f t="shared" si="11"/>
        <v>100</v>
      </c>
      <c r="V41" s="701" t="s">
        <v>14</v>
      </c>
      <c r="W41" s="702">
        <f t="shared" si="12"/>
        <v>100</v>
      </c>
      <c r="X41" s="703"/>
      <c r="Y41" s="375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9" t="s">
        <v>1696</v>
      </c>
      <c r="Q42" s="1351" t="str">
        <f t="shared" si="14"/>
        <v>工程地质条件</v>
      </c>
      <c r="R42" s="705" t="s">
        <v>14</v>
      </c>
      <c r="S42" s="706">
        <f t="shared" si="10"/>
        <v>100</v>
      </c>
      <c r="T42" s="705" t="s">
        <v>14</v>
      </c>
      <c r="U42" s="706">
        <f t="shared" si="11"/>
        <v>100</v>
      </c>
      <c r="V42" s="705" t="s">
        <v>14</v>
      </c>
      <c r="W42" s="706">
        <f t="shared" si="12"/>
        <v>100</v>
      </c>
      <c r="X42" s="1354"/>
      <c r="Y42" s="375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9"/>
      <c r="Q43" s="1351">
        <f t="shared" si="14"/>
        <v>111</v>
      </c>
      <c r="R43" s="705" t="s">
        <v>14</v>
      </c>
      <c r="S43" s="706">
        <f t="shared" si="10"/>
        <v>100</v>
      </c>
      <c r="T43" s="705" t="s">
        <v>14</v>
      </c>
      <c r="U43" s="706">
        <f t="shared" si="11"/>
        <v>100</v>
      </c>
      <c r="V43" s="705" t="s">
        <v>14</v>
      </c>
      <c r="W43" s="706">
        <f t="shared" si="12"/>
        <v>100</v>
      </c>
      <c r="X43" s="1354"/>
      <c r="Y43" s="375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9"/>
      <c r="Q44" s="1351">
        <f t="shared" si="14"/>
        <v>111</v>
      </c>
      <c r="R44" s="705" t="s">
        <v>14</v>
      </c>
      <c r="S44" s="706">
        <f t="shared" si="10"/>
        <v>100</v>
      </c>
      <c r="T44" s="705" t="s">
        <v>14</v>
      </c>
      <c r="U44" s="706">
        <f t="shared" si="11"/>
        <v>100</v>
      </c>
      <c r="V44" s="705" t="s">
        <v>14</v>
      </c>
      <c r="W44" s="706">
        <f t="shared" si="12"/>
        <v>100</v>
      </c>
      <c r="X44" s="1354"/>
      <c r="Y44" s="375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9"/>
      <c r="Q45" s="1351">
        <f t="shared" si="14"/>
        <v>111</v>
      </c>
      <c r="R45" s="708" t="s">
        <v>14</v>
      </c>
      <c r="S45" s="709">
        <f t="shared" si="10"/>
        <v>100</v>
      </c>
      <c r="T45" s="708" t="s">
        <v>14</v>
      </c>
      <c r="U45" s="709">
        <f t="shared" si="11"/>
        <v>100</v>
      </c>
      <c r="V45" s="708" t="s">
        <v>14</v>
      </c>
      <c r="W45" s="709">
        <f t="shared" si="12"/>
        <v>100</v>
      </c>
      <c r="X45" s="710"/>
      <c r="Y45" s="3759"/>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52" t="str">
        <f>A46</f>
        <v>成交单价</v>
      </c>
      <c r="Q46" s="3752"/>
      <c r="R46" s="3747">
        <f>E46</f>
        <v>0</v>
      </c>
      <c r="S46" s="3747"/>
      <c r="T46" s="3747">
        <f>G46</f>
        <v>0</v>
      </c>
      <c r="U46" s="3747"/>
      <c r="V46" s="3747">
        <f>I46</f>
        <v>0</v>
      </c>
      <c r="W46" s="3747"/>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52" t="str">
        <f>A47</f>
        <v>比较价值（元/平方米）</v>
      </c>
      <c r="Q47" s="3752"/>
      <c r="R47" s="3806" t="e">
        <f>ROUND(PRODUCT(R46,AA7:AA45),0)</f>
        <v>#DIV/0!</v>
      </c>
      <c r="S47" s="3806"/>
      <c r="T47" s="3806" t="e">
        <f>ROUND(PRODUCT(T46,AB7:AB45),0)</f>
        <v>#DIV/0!</v>
      </c>
      <c r="U47" s="3806"/>
      <c r="V47" s="3806" t="e">
        <f>ROUND(PRODUCT(V46,AC7:AC45),0)</f>
        <v>#DIV/0!</v>
      </c>
      <c r="W47" s="380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9" t="str">
        <f>A48</f>
        <v>估价对象XX用房的比较价值（楼面单价，元/平方米）</v>
      </c>
      <c r="Q48" s="3750"/>
      <c r="R48" s="3807" t="e">
        <f>ROUND(IF(D47="简单平均",AVERAGE(R47:W47),R47*F47+T47*H47+V47*J47),0)</f>
        <v>#DIV/0!</v>
      </c>
      <c r="S48" s="3807"/>
      <c r="T48" s="3807"/>
      <c r="U48" s="3807"/>
      <c r="V48" s="3807"/>
      <c r="W48" s="380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5" t="s">
        <v>1887</v>
      </c>
      <c r="H55" s="380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180.33</v>
      </c>
      <c r="F56" s="886" t="e">
        <f t="shared" ref="F56:F64" si="15">ROUND(B56*E56/10000,0)</f>
        <v>#DIV/0!</v>
      </c>
      <c r="G56" s="3734"/>
      <c r="H56" s="375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180.33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v>
      </c>
      <c r="B3" s="3536"/>
      <c r="C3" s="3536"/>
      <c r="D3" s="3536"/>
      <c r="E3" s="3536"/>
    </row>
    <row r="4" spans="1:5" ht="19.5" thickBot="1">
      <c r="A4" s="1492"/>
      <c r="B4" s="3534" t="s">
        <v>917</v>
      </c>
      <c r="C4" s="3534"/>
      <c r="D4" s="3534"/>
      <c r="E4" s="1492"/>
    </row>
    <row r="5" spans="1:5" ht="16.5" thickTop="1">
      <c r="A5" s="1490"/>
      <c r="B5" s="3532" t="s">
        <v>909</v>
      </c>
      <c r="C5" s="1493" t="s">
        <v>910</v>
      </c>
      <c r="D5" s="850" t="e">
        <f ca="1">结果表!H101</f>
        <v>#REF!</v>
      </c>
      <c r="E5" s="1490"/>
    </row>
    <row r="6" spans="1:5" ht="15.75">
      <c r="A6" s="1490"/>
      <c r="B6" s="3532"/>
      <c r="C6" s="1493" t="s">
        <v>911</v>
      </c>
      <c r="D6" s="850" t="e">
        <f ca="1">NUMBERSTRING(INT(D5*10000),2)&amp;"元整"</f>
        <v>#REF!</v>
      </c>
      <c r="E6" s="1490"/>
    </row>
    <row r="7" spans="1:5" ht="15.75">
      <c r="A7" s="1490"/>
      <c r="B7" s="3537"/>
      <c r="C7" s="1494" t="s">
        <v>912</v>
      </c>
      <c r="D7" s="851" t="e">
        <f ca="1">结果表!H102</f>
        <v>#REF!</v>
      </c>
      <c r="E7" s="1490"/>
    </row>
    <row r="8" spans="1:5" ht="15.75">
      <c r="A8" s="1490"/>
      <c r="B8" s="3538" t="str">
        <f>结果表!E103</f>
        <v>2.估价师知悉的法定优先受偿款</v>
      </c>
      <c r="C8" s="1495" t="s">
        <v>913</v>
      </c>
      <c r="D8" s="851">
        <f>结果表!H103</f>
        <v>0</v>
      </c>
      <c r="E8" s="1490"/>
    </row>
    <row r="9" spans="1:5" ht="15.75">
      <c r="A9" s="1490"/>
      <c r="B9" s="354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31" t="str">
        <f>结果表!E107</f>
        <v>3.房地产抵押价值</v>
      </c>
      <c r="C13" s="1498" t="s">
        <v>910</v>
      </c>
      <c r="D13" s="853" t="e">
        <f ca="1">结果表!H107</f>
        <v>#REF!</v>
      </c>
      <c r="E13" s="1490"/>
    </row>
    <row r="14" spans="1:5" ht="15.75">
      <c r="A14" s="1490"/>
      <c r="B14" s="3532"/>
      <c r="C14" s="1493" t="s">
        <v>911</v>
      </c>
      <c r="D14" s="850" t="e">
        <f ca="1">NUMBERSTRING(INT(D13*10000),2)&amp;"元整"</f>
        <v>#REF!</v>
      </c>
      <c r="E14" s="1490"/>
    </row>
    <row r="15" spans="1:5" ht="15">
      <c r="A15" s="1490"/>
      <c r="B15" s="3537"/>
      <c r="C15" s="1494" t="s">
        <v>921</v>
      </c>
      <c r="D15" s="859" t="e">
        <f ca="1">结果表!H108</f>
        <v>#REF!</v>
      </c>
      <c r="E15" s="1490"/>
    </row>
    <row r="16" spans="1:5" ht="15">
      <c r="A16" s="1490"/>
      <c r="B16" s="3538" t="str">
        <f>结果表!E109</f>
        <v>——</v>
      </c>
      <c r="C16" s="1498" t="s">
        <v>922</v>
      </c>
      <c r="D16" s="1499" t="str">
        <f>结果表!H109</f>
        <v>——</v>
      </c>
      <c r="E16" s="1490"/>
    </row>
    <row r="17" spans="1:5" ht="15.75">
      <c r="A17" s="1490"/>
      <c r="B17" s="3539"/>
      <c r="C17" s="1493" t="s">
        <v>923</v>
      </c>
      <c r="D17" s="850" t="e">
        <f>NUMBERSTRING(INT(D16*10000),2)&amp;"元整"</f>
        <v>#VALUE!</v>
      </c>
      <c r="E17" s="1490"/>
    </row>
    <row r="18" spans="1:5" ht="15">
      <c r="A18" s="1490"/>
      <c r="B18" s="3540"/>
      <c r="C18" s="1494" t="s">
        <v>912</v>
      </c>
      <c r="D18" s="859" t="str">
        <f>结果表!H110</f>
        <v>——</v>
      </c>
      <c r="E18" s="1490"/>
    </row>
    <row r="19" spans="1:5" ht="15.75">
      <c r="A19" s="1490"/>
      <c r="B19" s="3531" t="str">
        <f>结果表!E111</f>
        <v>——</v>
      </c>
      <c r="C19" s="1498" t="s">
        <v>910</v>
      </c>
      <c r="D19" s="851" t="str">
        <f>结果表!H111</f>
        <v>——</v>
      </c>
      <c r="E19" s="1490"/>
    </row>
    <row r="20" spans="1:5" ht="15.75">
      <c r="A20" s="1490"/>
      <c r="B20" s="3532"/>
      <c r="C20" s="1493" t="s">
        <v>923</v>
      </c>
      <c r="D20" s="850" t="e">
        <f>NUMBERSTRING(INT(D19*10000),2)&amp;"元整"</f>
        <v>#VALUE!</v>
      </c>
      <c r="E20" s="1490"/>
    </row>
    <row r="21" spans="1:5" ht="15.75" thickBot="1">
      <c r="A21" s="1490"/>
      <c r="B21" s="353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4"/>
      <c r="M4" s="2715"/>
      <c r="N4" s="2715"/>
      <c r="O4" s="2715"/>
      <c r="P4" s="3739" t="s">
        <v>1775</v>
      </c>
      <c r="Q4" s="3740"/>
      <c r="R4" s="3721" t="s">
        <v>1771</v>
      </c>
      <c r="S4" s="3722"/>
      <c r="T4" s="3721" t="s">
        <v>1772</v>
      </c>
      <c r="U4" s="3722"/>
      <c r="V4" s="3747" t="s">
        <v>1773</v>
      </c>
      <c r="W4" s="3747"/>
      <c r="X4" s="1354"/>
      <c r="Y4" s="3721" t="s">
        <v>1775</v>
      </c>
      <c r="Z4" s="3722"/>
      <c r="AA4" s="3716" t="s">
        <v>1771</v>
      </c>
      <c r="AB4" s="3717" t="s">
        <v>1772</v>
      </c>
      <c r="AC4" s="3716" t="s">
        <v>1773</v>
      </c>
    </row>
    <row r="5" spans="1:29" ht="15">
      <c r="A5" s="358"/>
      <c r="B5" s="359"/>
      <c r="C5" s="3731" t="s">
        <v>1673</v>
      </c>
      <c r="D5" s="3728"/>
      <c r="E5" s="3725" t="s">
        <v>1674</v>
      </c>
      <c r="F5" s="3726"/>
      <c r="G5" s="3731" t="s">
        <v>1675</v>
      </c>
      <c r="H5" s="3728"/>
      <c r="I5" s="3731" t="s">
        <v>1676</v>
      </c>
      <c r="J5" s="3728"/>
      <c r="K5" s="559"/>
      <c r="L5" s="2714"/>
      <c r="M5" s="2715"/>
      <c r="N5" s="2715"/>
      <c r="O5" s="2715"/>
      <c r="P5" s="3741"/>
      <c r="Q5" s="3742"/>
      <c r="R5" s="3723"/>
      <c r="S5" s="3724"/>
      <c r="T5" s="3723"/>
      <c r="U5" s="3724"/>
      <c r="V5" s="3747"/>
      <c r="W5" s="3747"/>
      <c r="X5" s="1354"/>
      <c r="Y5" s="3723"/>
      <c r="Z5" s="3724"/>
      <c r="AA5" s="3717"/>
      <c r="AB5" s="3717"/>
      <c r="AC5" s="3717"/>
    </row>
    <row r="6" spans="1:29" ht="15.75" thickBot="1">
      <c r="A6" s="360"/>
      <c r="B6" s="361"/>
      <c r="C6" s="3809" t="s">
        <v>1919</v>
      </c>
      <c r="D6" s="3810"/>
      <c r="E6" s="3811" t="s">
        <v>1919</v>
      </c>
      <c r="F6" s="3812"/>
      <c r="G6" s="3809" t="s">
        <v>1919</v>
      </c>
      <c r="H6" s="3810"/>
      <c r="I6" s="3809" t="s">
        <v>1919</v>
      </c>
      <c r="J6" s="3810"/>
      <c r="K6" s="559" t="s">
        <v>1678</v>
      </c>
      <c r="L6" s="2714"/>
      <c r="M6" s="2715"/>
      <c r="N6" s="2715"/>
      <c r="O6" s="2715"/>
      <c r="P6" s="3743"/>
      <c r="Q6" s="3744"/>
      <c r="R6" s="3723"/>
      <c r="S6" s="3724"/>
      <c r="T6" s="3745"/>
      <c r="U6" s="3746"/>
      <c r="V6" s="3747"/>
      <c r="W6" s="3747"/>
      <c r="X6" s="1354"/>
      <c r="Y6" s="3745"/>
      <c r="Z6" s="3746"/>
      <c r="AA6" s="3718"/>
      <c r="AB6" s="3718"/>
      <c r="AC6" s="3718"/>
    </row>
    <row r="7" spans="1:29" s="108" customFormat="1" ht="15.75" thickBot="1">
      <c r="A7" s="362" t="s">
        <v>1679</v>
      </c>
      <c r="B7" s="363"/>
      <c r="C7" s="364">
        <f>'数据-取费表'!B2</f>
        <v>45364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9" t="s">
        <v>1680</v>
      </c>
      <c r="Q7" s="3748"/>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2" t="s">
        <v>1686</v>
      </c>
      <c r="Q9" s="1342" t="str">
        <f t="shared" ref="Q9:Q15" si="6">B9</f>
        <v>用途</v>
      </c>
      <c r="R9" s="701" t="s">
        <v>14</v>
      </c>
      <c r="S9" s="702">
        <f t="shared" si="0"/>
        <v>100</v>
      </c>
      <c r="T9" s="701" t="s">
        <v>14</v>
      </c>
      <c r="U9" s="702">
        <f t="shared" si="1"/>
        <v>100</v>
      </c>
      <c r="V9" s="701" t="s">
        <v>14</v>
      </c>
      <c r="W9" s="702">
        <f t="shared" si="2"/>
        <v>100</v>
      </c>
      <c r="X9" s="703"/>
      <c r="Y9" s="368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52"/>
      <c r="Q10" s="1342" t="str">
        <f t="shared" si="6"/>
        <v>土地使用年限（年）</v>
      </c>
      <c r="R10" s="701" t="s">
        <v>14</v>
      </c>
      <c r="S10" s="702">
        <f t="shared" si="0"/>
        <v>110</v>
      </c>
      <c r="T10" s="701" t="s">
        <v>14</v>
      </c>
      <c r="U10" s="702">
        <f t="shared" si="1"/>
        <v>110</v>
      </c>
      <c r="V10" s="701" t="s">
        <v>14</v>
      </c>
      <c r="W10" s="702">
        <f t="shared" si="2"/>
        <v>110</v>
      </c>
      <c r="X10" s="703"/>
      <c r="Y10" s="368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2"/>
      <c r="Q11" s="1342" t="str">
        <f t="shared" si="6"/>
        <v>容积率</v>
      </c>
      <c r="R11" s="701" t="s">
        <v>14</v>
      </c>
      <c r="S11" s="702" t="e">
        <f t="shared" si="0"/>
        <v>#N/A</v>
      </c>
      <c r="T11" s="701" t="s">
        <v>14</v>
      </c>
      <c r="U11" s="702" t="e">
        <f t="shared" si="1"/>
        <v>#N/A</v>
      </c>
      <c r="V11" s="701" t="s">
        <v>14</v>
      </c>
      <c r="W11" s="702" t="e">
        <f t="shared" si="2"/>
        <v>#N/A</v>
      </c>
      <c r="X11" s="703"/>
      <c r="Y11" s="368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2"/>
      <c r="Q12" s="1342">
        <f t="shared" si="6"/>
        <v>111</v>
      </c>
      <c r="R12" s="701" t="s">
        <v>14</v>
      </c>
      <c r="S12" s="702">
        <f t="shared" si="0"/>
        <v>100</v>
      </c>
      <c r="T12" s="701" t="s">
        <v>14</v>
      </c>
      <c r="U12" s="702">
        <f t="shared" si="1"/>
        <v>100</v>
      </c>
      <c r="V12" s="701" t="s">
        <v>14</v>
      </c>
      <c r="W12" s="702">
        <f t="shared" si="2"/>
        <v>100</v>
      </c>
      <c r="X12" s="703"/>
      <c r="Y12" s="368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8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2"/>
      <c r="Q14" s="1342">
        <f t="shared" si="6"/>
        <v>111</v>
      </c>
      <c r="R14" s="701" t="s">
        <v>14</v>
      </c>
      <c r="S14" s="702">
        <f t="shared" si="0"/>
        <v>100</v>
      </c>
      <c r="T14" s="701" t="s">
        <v>14</v>
      </c>
      <c r="U14" s="702">
        <f t="shared" si="1"/>
        <v>100</v>
      </c>
      <c r="V14" s="701" t="s">
        <v>14</v>
      </c>
      <c r="W14" s="702">
        <f t="shared" si="2"/>
        <v>100</v>
      </c>
      <c r="X14" s="703"/>
      <c r="Y14" s="368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4" t="s">
        <v>1691</v>
      </c>
      <c r="Q15" s="1351" t="str">
        <f t="shared" si="6"/>
        <v>产业集聚程度</v>
      </c>
      <c r="R15" s="705" t="s">
        <v>14</v>
      </c>
      <c r="S15" s="706">
        <f t="shared" si="0"/>
        <v>100</v>
      </c>
      <c r="T15" s="705" t="s">
        <v>14</v>
      </c>
      <c r="U15" s="706">
        <f t="shared" si="1"/>
        <v>100</v>
      </c>
      <c r="V15" s="705" t="s">
        <v>14</v>
      </c>
      <c r="W15" s="706">
        <f t="shared" si="2"/>
        <v>100</v>
      </c>
      <c r="X15" s="1354"/>
      <c r="Y15" s="375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55"/>
      <c r="Q16" s="1351"/>
      <c r="R16" s="705"/>
      <c r="S16" s="706"/>
      <c r="T16" s="705"/>
      <c r="U16" s="706"/>
      <c r="V16" s="705"/>
      <c r="W16" s="706"/>
      <c r="X16" s="1354"/>
      <c r="Y16" s="375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5"/>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55"/>
      <c r="Q18" s="1351"/>
      <c r="R18" s="705"/>
      <c r="S18" s="706"/>
      <c r="T18" s="705"/>
      <c r="U18" s="706"/>
      <c r="V18" s="705"/>
      <c r="W18" s="706"/>
      <c r="X18" s="1354"/>
      <c r="Y18" s="375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5"/>
      <c r="Q19" s="1351" t="str">
        <f t="shared" ref="Q19:Q33" si="8">B19</f>
        <v>区域土地利用方向</v>
      </c>
      <c r="R19" s="705" t="s">
        <v>14</v>
      </c>
      <c r="S19" s="706">
        <f>F19</f>
        <v>100</v>
      </c>
      <c r="T19" s="705" t="s">
        <v>14</v>
      </c>
      <c r="U19" s="706">
        <f>H19</f>
        <v>100</v>
      </c>
      <c r="V19" s="705" t="s">
        <v>14</v>
      </c>
      <c r="W19" s="706">
        <f>J19</f>
        <v>100</v>
      </c>
      <c r="X19" s="1354"/>
      <c r="Y19" s="375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55"/>
      <c r="Q20" s="1351"/>
      <c r="R20" s="705"/>
      <c r="S20" s="706"/>
      <c r="T20" s="705"/>
      <c r="U20" s="706"/>
      <c r="V20" s="705"/>
      <c r="W20" s="706"/>
      <c r="X20" s="1354"/>
      <c r="Y20" s="375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5"/>
      <c r="Q21" s="1351" t="str">
        <f t="shared" si="8"/>
        <v>环境状况</v>
      </c>
      <c r="R21" s="705" t="s">
        <v>14</v>
      </c>
      <c r="S21" s="706">
        <f>F21</f>
        <v>100</v>
      </c>
      <c r="T21" s="705" t="s">
        <v>14</v>
      </c>
      <c r="U21" s="706">
        <f>H21</f>
        <v>100</v>
      </c>
      <c r="V21" s="705" t="s">
        <v>14</v>
      </c>
      <c r="W21" s="706">
        <f>J21</f>
        <v>100</v>
      </c>
      <c r="X21" s="1354"/>
      <c r="Y21" s="375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55"/>
      <c r="Q22" s="1351"/>
      <c r="R22" s="705"/>
      <c r="S22" s="706"/>
      <c r="T22" s="705"/>
      <c r="U22" s="706"/>
      <c r="V22" s="705"/>
      <c r="W22" s="706"/>
      <c r="X22" s="1354"/>
      <c r="Y22" s="375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5"/>
      <c r="Q23" s="1342" t="str">
        <f t="shared" si="8"/>
        <v>公共配套设施</v>
      </c>
      <c r="R23" s="701" t="s">
        <v>14</v>
      </c>
      <c r="S23" s="702">
        <f>F23</f>
        <v>100</v>
      </c>
      <c r="T23" s="701" t="s">
        <v>14</v>
      </c>
      <c r="U23" s="702">
        <f>H23</f>
        <v>100</v>
      </c>
      <c r="V23" s="701" t="s">
        <v>14</v>
      </c>
      <c r="W23" s="702">
        <f>J23</f>
        <v>100</v>
      </c>
      <c r="X23" s="703"/>
      <c r="Y23" s="375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55"/>
      <c r="Q24" s="1342"/>
      <c r="R24" s="701"/>
      <c r="S24" s="702"/>
      <c r="T24" s="701"/>
      <c r="U24" s="702"/>
      <c r="V24" s="701"/>
      <c r="W24" s="702"/>
      <c r="X24" s="703"/>
      <c r="Y24" s="3755"/>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5"/>
      <c r="Q25" s="1342" t="str">
        <f t="shared" ref="Q25" si="9">B25</f>
        <v>基础设施水平</v>
      </c>
      <c r="R25" s="701" t="s">
        <v>14</v>
      </c>
      <c r="S25" s="702">
        <f>F25</f>
        <v>100</v>
      </c>
      <c r="T25" s="701" t="s">
        <v>14</v>
      </c>
      <c r="U25" s="702">
        <f>H25</f>
        <v>100</v>
      </c>
      <c r="V25" s="701" t="s">
        <v>14</v>
      </c>
      <c r="W25" s="702">
        <f>J25</f>
        <v>100</v>
      </c>
      <c r="X25" s="703"/>
      <c r="Y25" s="375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55"/>
      <c r="Q26" s="1342"/>
      <c r="R26" s="701"/>
      <c r="S26" s="702"/>
      <c r="T26" s="701"/>
      <c r="U26" s="702"/>
      <c r="V26" s="701"/>
      <c r="W26" s="702"/>
      <c r="X26" s="703"/>
      <c r="Y26" s="37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5"/>
      <c r="Q28" s="1351" t="str">
        <f t="shared" si="8"/>
        <v>毗邻道路的类型与等级</v>
      </c>
      <c r="R28" s="705" t="s">
        <v>14</v>
      </c>
      <c r="S28" s="706">
        <f t="shared" si="10"/>
        <v>100</v>
      </c>
      <c r="T28" s="705" t="s">
        <v>14</v>
      </c>
      <c r="U28" s="706">
        <f t="shared" si="11"/>
        <v>100</v>
      </c>
      <c r="V28" s="705" t="s">
        <v>14</v>
      </c>
      <c r="W28" s="706">
        <f t="shared" si="12"/>
        <v>100</v>
      </c>
      <c r="X28" s="1354"/>
      <c r="Y28" s="375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55"/>
      <c r="Q29" s="1351"/>
      <c r="R29" s="705"/>
      <c r="S29" s="706"/>
      <c r="T29" s="705"/>
      <c r="U29" s="706"/>
      <c r="V29" s="705"/>
      <c r="W29" s="706"/>
      <c r="X29" s="1354"/>
      <c r="Y29" s="375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5"/>
      <c r="Q30" s="1351" t="str">
        <f t="shared" si="8"/>
        <v>土地级别</v>
      </c>
      <c r="R30" s="705" t="s">
        <v>14</v>
      </c>
      <c r="S30" s="706">
        <f t="shared" si="10"/>
        <v>100</v>
      </c>
      <c r="T30" s="705" t="s">
        <v>14</v>
      </c>
      <c r="U30" s="706">
        <f t="shared" si="11"/>
        <v>100</v>
      </c>
      <c r="V30" s="705" t="s">
        <v>14</v>
      </c>
      <c r="W30" s="706">
        <f t="shared" si="12"/>
        <v>100</v>
      </c>
      <c r="X30" s="1354"/>
      <c r="Y30" s="375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5"/>
      <c r="Q31" s="1351">
        <f t="shared" si="8"/>
        <v>111</v>
      </c>
      <c r="R31" s="705" t="s">
        <v>14</v>
      </c>
      <c r="S31" s="706">
        <f t="shared" si="10"/>
        <v>100</v>
      </c>
      <c r="T31" s="705" t="s">
        <v>14</v>
      </c>
      <c r="U31" s="706">
        <f t="shared" si="11"/>
        <v>100</v>
      </c>
      <c r="V31" s="705" t="s">
        <v>14</v>
      </c>
      <c r="W31" s="706">
        <f t="shared" si="12"/>
        <v>100</v>
      </c>
      <c r="X31" s="1354"/>
      <c r="Y31" s="375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4" t="s">
        <v>1696</v>
      </c>
      <c r="Q32" s="1351">
        <f t="shared" si="8"/>
        <v>111</v>
      </c>
      <c r="R32" s="705" t="s">
        <v>14</v>
      </c>
      <c r="S32" s="706">
        <f t="shared" si="10"/>
        <v>100</v>
      </c>
      <c r="T32" s="705" t="s">
        <v>14</v>
      </c>
      <c r="U32" s="706">
        <f t="shared" si="11"/>
        <v>100</v>
      </c>
      <c r="V32" s="705" t="s">
        <v>14</v>
      </c>
      <c r="W32" s="706">
        <f t="shared" si="12"/>
        <v>100</v>
      </c>
      <c r="X32" s="1354"/>
      <c r="Y32" s="375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9"/>
      <c r="Q33" s="1351">
        <f t="shared" si="8"/>
        <v>111</v>
      </c>
      <c r="R33" s="708" t="s">
        <v>14</v>
      </c>
      <c r="S33" s="709">
        <f t="shared" si="10"/>
        <v>100</v>
      </c>
      <c r="T33" s="708" t="s">
        <v>14</v>
      </c>
      <c r="U33" s="709">
        <f t="shared" si="11"/>
        <v>100</v>
      </c>
      <c r="V33" s="708" t="s">
        <v>14</v>
      </c>
      <c r="W33" s="709">
        <f t="shared" si="12"/>
        <v>100</v>
      </c>
      <c r="X33" s="710"/>
      <c r="Y33" s="375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9"/>
      <c r="Q34" s="1351" t="str">
        <f>B34</f>
        <v>宗地面积</v>
      </c>
      <c r="R34" s="705" t="s">
        <v>14</v>
      </c>
      <c r="S34" s="706" t="e">
        <f t="shared" si="10"/>
        <v>#N/A</v>
      </c>
      <c r="T34" s="705" t="s">
        <v>14</v>
      </c>
      <c r="U34" s="706" t="e">
        <f t="shared" si="11"/>
        <v>#N/A</v>
      </c>
      <c r="V34" s="705" t="s">
        <v>14</v>
      </c>
      <c r="W34" s="706" t="e">
        <f t="shared" si="12"/>
        <v>#N/A</v>
      </c>
      <c r="X34" s="1354"/>
      <c r="Y34" s="375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59"/>
      <c r="Q35" s="1351" t="str">
        <f t="shared" ref="Q35:Q40" si="14">B35</f>
        <v>宗地形状</v>
      </c>
      <c r="R35" s="705" t="s">
        <v>14</v>
      </c>
      <c r="S35" s="706">
        <f t="shared" si="10"/>
        <v>100</v>
      </c>
      <c r="T35" s="705" t="s">
        <v>14</v>
      </c>
      <c r="U35" s="706">
        <f t="shared" si="11"/>
        <v>100</v>
      </c>
      <c r="V35" s="705" t="s">
        <v>14</v>
      </c>
      <c r="W35" s="706">
        <f t="shared" si="12"/>
        <v>100</v>
      </c>
      <c r="X35" s="1354"/>
      <c r="Y35" s="375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9"/>
      <c r="Q36" s="1351"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59" t="s">
        <v>1696</v>
      </c>
      <c r="Q37" s="1351" t="str">
        <f t="shared" si="14"/>
        <v>工程地质条件</v>
      </c>
      <c r="R37" s="705" t="s">
        <v>14</v>
      </c>
      <c r="S37" s="706">
        <f t="shared" si="10"/>
        <v>100</v>
      </c>
      <c r="T37" s="705" t="s">
        <v>14</v>
      </c>
      <c r="U37" s="706">
        <f t="shared" si="11"/>
        <v>100</v>
      </c>
      <c r="V37" s="705" t="s">
        <v>14</v>
      </c>
      <c r="W37" s="706">
        <f t="shared" si="12"/>
        <v>100</v>
      </c>
      <c r="X37" s="1354"/>
      <c r="Y37" s="375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9"/>
      <c r="Q38" s="1351">
        <f t="shared" si="14"/>
        <v>111</v>
      </c>
      <c r="R38" s="705" t="s">
        <v>14</v>
      </c>
      <c r="S38" s="706">
        <f t="shared" si="10"/>
        <v>100</v>
      </c>
      <c r="T38" s="705" t="s">
        <v>14</v>
      </c>
      <c r="U38" s="706">
        <f t="shared" si="11"/>
        <v>100</v>
      </c>
      <c r="V38" s="705" t="s">
        <v>14</v>
      </c>
      <c r="W38" s="706">
        <f t="shared" si="12"/>
        <v>100</v>
      </c>
      <c r="X38" s="1354"/>
      <c r="Y38" s="375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9"/>
      <c r="Q39" s="1351">
        <f t="shared" si="14"/>
        <v>111</v>
      </c>
      <c r="R39" s="705" t="s">
        <v>14</v>
      </c>
      <c r="S39" s="706">
        <f t="shared" si="10"/>
        <v>100</v>
      </c>
      <c r="T39" s="705" t="s">
        <v>14</v>
      </c>
      <c r="U39" s="706">
        <f t="shared" si="11"/>
        <v>100</v>
      </c>
      <c r="V39" s="705" t="s">
        <v>14</v>
      </c>
      <c r="W39" s="706">
        <f t="shared" si="12"/>
        <v>100</v>
      </c>
      <c r="X39" s="1354"/>
      <c r="Y39" s="375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9"/>
      <c r="Q40" s="1351">
        <f t="shared" si="14"/>
        <v>111</v>
      </c>
      <c r="R40" s="708" t="s">
        <v>14</v>
      </c>
      <c r="S40" s="709">
        <f t="shared" si="10"/>
        <v>100</v>
      </c>
      <c r="T40" s="708" t="s">
        <v>14</v>
      </c>
      <c r="U40" s="709">
        <f t="shared" si="11"/>
        <v>100</v>
      </c>
      <c r="V40" s="708" t="s">
        <v>14</v>
      </c>
      <c r="W40" s="709">
        <f t="shared" si="12"/>
        <v>100</v>
      </c>
      <c r="X40" s="710"/>
      <c r="Y40" s="3759"/>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52" t="str">
        <f>A41</f>
        <v>成交单价</v>
      </c>
      <c r="Q41" s="3752"/>
      <c r="R41" s="3747">
        <f>E41</f>
        <v>0</v>
      </c>
      <c r="S41" s="3747"/>
      <c r="T41" s="3747">
        <f>G41</f>
        <v>0</v>
      </c>
      <c r="U41" s="3747"/>
      <c r="V41" s="3747">
        <f>I41</f>
        <v>0</v>
      </c>
      <c r="W41" s="3747"/>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52" t="str">
        <f>A42</f>
        <v>比较价值（元/平方米）</v>
      </c>
      <c r="Q42" s="3752"/>
      <c r="R42" s="3806" t="e">
        <f>ROUND(PRODUCT(R41,AA7:AA40),0)</f>
        <v>#DIV/0!</v>
      </c>
      <c r="S42" s="3806"/>
      <c r="T42" s="3806" t="e">
        <f>ROUND(PRODUCT(T41,AB7:AB40),0)</f>
        <v>#DIV/0!</v>
      </c>
      <c r="U42" s="3806"/>
      <c r="V42" s="3806" t="e">
        <f>ROUND(PRODUCT(V41,AC7:AC40),0)</f>
        <v>#DIV/0!</v>
      </c>
      <c r="W42" s="380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9" t="str">
        <f>A43</f>
        <v>估价对象XX用房的比较价值（楼面单价，元/平方米）</v>
      </c>
      <c r="Q43" s="3750"/>
      <c r="R43" s="3807" t="e">
        <f>ROUND(IF(D42="简单平均",AVERAGE(R42:W42),R42*F42+T42*H42+V42*J42),0)</f>
        <v>#DIV/0!</v>
      </c>
      <c r="S43" s="3807"/>
      <c r="T43" s="3807"/>
      <c r="U43" s="3807"/>
      <c r="V43" s="3807"/>
      <c r="W43" s="380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5" t="s">
        <v>1887</v>
      </c>
      <c r="H50" s="380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180.33</v>
      </c>
      <c r="F51" s="639" t="e">
        <f t="shared" ref="F51:F60" si="15">ROUND(B51*E51/10000,0)</f>
        <v>#DIV/0!</v>
      </c>
      <c r="G51" s="3734"/>
      <c r="H51" s="375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6" t="s">
        <v>2084</v>
      </c>
      <c r="D1" s="3817"/>
      <c r="E1" s="3817"/>
      <c r="F1" s="3817"/>
      <c r="G1" s="3817"/>
      <c r="H1" s="3817"/>
      <c r="I1" s="3817"/>
      <c r="J1" s="3817"/>
      <c r="K1" s="3817"/>
      <c r="L1" s="3817"/>
      <c r="M1" s="3817"/>
      <c r="N1" s="3817"/>
      <c r="O1" s="3817"/>
      <c r="P1" s="3817"/>
      <c r="Q1" s="3817"/>
      <c r="R1" s="3817"/>
      <c r="S1" s="381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3" t="s">
        <v>27</v>
      </c>
      <c r="D22" s="3814"/>
      <c r="E22" s="3814"/>
      <c r="F22" s="3814"/>
      <c r="G22" s="3814"/>
      <c r="H22" s="3814"/>
      <c r="I22" s="3814"/>
      <c r="J22" s="3814"/>
      <c r="K22" s="3814"/>
      <c r="L22" s="3814"/>
      <c r="M22" s="3814"/>
      <c r="N22" s="3814"/>
      <c r="O22" s="3814"/>
      <c r="P22" s="3814"/>
      <c r="Q22" s="381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3459</v>
      </c>
      <c r="F3" s="2003" t="s">
        <v>3460</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26"/>
      <c r="B4" s="3827"/>
      <c r="C4" s="3827"/>
      <c r="D4" s="3828"/>
      <c r="E4" s="3828"/>
      <c r="F4" s="3828"/>
      <c r="G4" s="3828"/>
      <c r="H4" s="3828"/>
      <c r="I4" s="3828"/>
      <c r="J4" s="3829"/>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3461</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823" t="s">
        <v>1960</v>
      </c>
      <c r="X8" s="382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82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82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30" t="s">
        <v>3259</v>
      </c>
      <c r="B20" s="167" t="s">
        <v>1994</v>
      </c>
      <c r="C20" s="3324" t="e">
        <f>ROUND(IF(F21="与级别开发程度一致",0,(G21-E21)/C21),0)</f>
        <v>#DIV/0!</v>
      </c>
      <c r="D20" s="3340" t="s">
        <v>1998</v>
      </c>
      <c r="E20" s="3341"/>
      <c r="F20" s="3836" t="s">
        <v>1995</v>
      </c>
      <c r="G20" s="3837"/>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3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45364</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0.93730000000000002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48.56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3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3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35"/>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32" t="s">
        <v>3299</v>
      </c>
      <c r="B103" s="3832"/>
      <c r="C103" s="3832"/>
      <c r="D103" s="3832"/>
      <c r="E103" s="3832"/>
      <c r="F103" s="3832"/>
      <c r="G103" s="3832"/>
      <c r="H103" s="3832"/>
      <c r="I103" s="3832"/>
      <c r="J103" s="3832"/>
      <c r="K103" s="3389"/>
      <c r="L103" s="3389"/>
      <c r="M103" s="3389"/>
      <c r="N103" s="3389"/>
    </row>
    <row r="104" spans="1:14">
      <c r="A104" s="3833" t="s">
        <v>3300</v>
      </c>
      <c r="B104" s="3833" t="s">
        <v>3301</v>
      </c>
      <c r="C104" s="3390" t="s">
        <v>3302</v>
      </c>
      <c r="D104" s="3391"/>
      <c r="E104" s="3391"/>
      <c r="F104" s="3391"/>
      <c r="G104" s="3391"/>
      <c r="H104" s="3391"/>
      <c r="I104" s="3391"/>
      <c r="J104" s="3392"/>
      <c r="K104" s="3393"/>
      <c r="L104" s="3393"/>
      <c r="M104" s="3393"/>
      <c r="N104" s="3393"/>
    </row>
    <row r="105" spans="1:14">
      <c r="A105" s="3833"/>
      <c r="B105" s="383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1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2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2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2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2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20"/>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2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22" t="s">
        <v>3316</v>
      </c>
      <c r="B113" s="3822"/>
      <c r="C113" s="3822"/>
      <c r="D113" s="3822"/>
      <c r="E113" s="3822"/>
      <c r="F113" s="3822"/>
      <c r="G113" s="3822"/>
      <c r="H113" s="3822"/>
      <c r="I113" s="3822"/>
      <c r="J113" s="382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45" t="s">
        <v>2610</v>
      </c>
      <c r="B20" s="3838" t="s">
        <v>2631</v>
      </c>
      <c r="C20" s="3102" t="s">
        <v>2442</v>
      </c>
      <c r="D20" s="3103"/>
      <c r="E20" s="3104">
        <v>1</v>
      </c>
      <c r="F20" s="3105" t="s">
        <v>2443</v>
      </c>
      <c r="G20" s="3105"/>
    </row>
    <row r="21" spans="1:13" ht="19.5" customHeight="1">
      <c r="A21" s="3846"/>
      <c r="B21" s="3839"/>
      <c r="C21" s="3106" t="s">
        <v>2444</v>
      </c>
      <c r="D21" s="3107"/>
      <c r="E21" s="3108">
        <v>1</v>
      </c>
      <c r="F21" s="3105" t="s">
        <v>2445</v>
      </c>
      <c r="G21" s="3105"/>
    </row>
    <row r="22" spans="1:13" ht="19.5" customHeight="1">
      <c r="A22" s="3846"/>
      <c r="B22" s="3839"/>
      <c r="C22" s="3106" t="s">
        <v>2446</v>
      </c>
      <c r="D22" s="3107"/>
      <c r="E22" s="3108">
        <v>0.9</v>
      </c>
      <c r="F22" s="3105" t="s">
        <v>2447</v>
      </c>
      <c r="G22" s="3105"/>
    </row>
    <row r="23" spans="1:13" ht="19.5" customHeight="1">
      <c r="A23" s="3846"/>
      <c r="B23" s="3839"/>
      <c r="C23" s="3106" t="s">
        <v>2448</v>
      </c>
      <c r="D23" s="3107"/>
      <c r="E23" s="3108">
        <v>0.9</v>
      </c>
      <c r="F23" s="3105" t="s">
        <v>2449</v>
      </c>
      <c r="G23" s="3105"/>
    </row>
    <row r="24" spans="1:13" ht="19.5" customHeight="1">
      <c r="A24" s="3846"/>
      <c r="B24" s="3839"/>
      <c r="C24" s="3106" t="s">
        <v>2450</v>
      </c>
      <c r="D24" s="3107"/>
      <c r="E24" s="3108">
        <v>0.8</v>
      </c>
      <c r="F24" s="3105" t="s">
        <v>2451</v>
      </c>
      <c r="G24" s="3105"/>
    </row>
    <row r="25" spans="1:13" ht="19.5" customHeight="1" thickBot="1">
      <c r="A25" s="3847"/>
      <c r="B25" s="384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41" t="s">
        <v>2634</v>
      </c>
      <c r="B27" s="3838" t="s">
        <v>2615</v>
      </c>
      <c r="C27" s="3102" t="s">
        <v>2455</v>
      </c>
      <c r="D27" s="3103"/>
      <c r="E27" s="3104">
        <v>1</v>
      </c>
      <c r="F27" s="3105" t="s">
        <v>2456</v>
      </c>
      <c r="G27" s="3105"/>
    </row>
    <row r="28" spans="1:13" ht="19.5" customHeight="1">
      <c r="A28" s="3842"/>
      <c r="B28" s="3839"/>
      <c r="C28" s="3106" t="s">
        <v>2457</v>
      </c>
      <c r="D28" s="3107"/>
      <c r="E28" s="3108">
        <v>1</v>
      </c>
      <c r="F28" s="3105" t="s">
        <v>2458</v>
      </c>
      <c r="G28" s="3105"/>
    </row>
    <row r="29" spans="1:13" ht="19.5" customHeight="1">
      <c r="A29" s="3842"/>
      <c r="B29" s="3839"/>
      <c r="C29" s="3106" t="s">
        <v>2459</v>
      </c>
      <c r="D29" s="3107"/>
      <c r="E29" s="3108">
        <v>0.8</v>
      </c>
      <c r="F29" s="3105" t="s">
        <v>2460</v>
      </c>
      <c r="G29" s="3105"/>
    </row>
    <row r="30" spans="1:13" ht="19.5" customHeight="1">
      <c r="A30" s="3842"/>
      <c r="B30" s="3839"/>
      <c r="C30" s="3106" t="s">
        <v>2461</v>
      </c>
      <c r="D30" s="3107"/>
      <c r="E30" s="3108">
        <v>0.8</v>
      </c>
      <c r="F30" s="3105" t="s">
        <v>2462</v>
      </c>
      <c r="G30" s="3105"/>
    </row>
    <row r="31" spans="1:13" ht="19.5" customHeight="1">
      <c r="A31" s="3842"/>
      <c r="B31" s="3839"/>
      <c r="C31" s="3106" t="s">
        <v>2463</v>
      </c>
      <c r="D31" s="3107"/>
      <c r="E31" s="3108">
        <v>0.8</v>
      </c>
      <c r="F31" s="3105" t="s">
        <v>2464</v>
      </c>
      <c r="G31" s="3105"/>
    </row>
    <row r="32" spans="1:13" ht="19.5" customHeight="1">
      <c r="A32" s="3842"/>
      <c r="B32" s="3839"/>
      <c r="C32" s="3106" t="s">
        <v>2465</v>
      </c>
      <c r="D32" s="3107"/>
      <c r="E32" s="3108">
        <v>0.7</v>
      </c>
      <c r="F32" s="3105" t="s">
        <v>2466</v>
      </c>
      <c r="G32" s="3105"/>
    </row>
    <row r="33" spans="1:7" ht="19.5" customHeight="1">
      <c r="A33" s="3842"/>
      <c r="B33" s="3839"/>
      <c r="C33" s="3106" t="s">
        <v>2467</v>
      </c>
      <c r="D33" s="3107"/>
      <c r="E33" s="3108">
        <v>0.8</v>
      </c>
      <c r="F33" s="3105" t="s">
        <v>2468</v>
      </c>
      <c r="G33" s="3105"/>
    </row>
    <row r="34" spans="1:7" ht="19.5" customHeight="1">
      <c r="A34" s="3842"/>
      <c r="B34" s="3839"/>
      <c r="C34" s="3106" t="s">
        <v>2469</v>
      </c>
      <c r="D34" s="3107"/>
      <c r="E34" s="3108">
        <v>0.6</v>
      </c>
      <c r="F34" s="3105" t="s">
        <v>2470</v>
      </c>
      <c r="G34" s="3105"/>
    </row>
    <row r="35" spans="1:7" ht="19.5" customHeight="1">
      <c r="A35" s="3842"/>
      <c r="B35" s="3839"/>
      <c r="C35" s="3106" t="s">
        <v>2471</v>
      </c>
      <c r="D35" s="3107"/>
      <c r="E35" s="3108">
        <v>0.2</v>
      </c>
      <c r="F35" s="3105" t="s">
        <v>2472</v>
      </c>
      <c r="G35" s="3105"/>
    </row>
    <row r="36" spans="1:7" ht="19.5" customHeight="1">
      <c r="A36" s="3842"/>
      <c r="B36" s="3839"/>
      <c r="C36" s="3106" t="s">
        <v>2473</v>
      </c>
      <c r="D36" s="3107"/>
      <c r="E36" s="3108">
        <v>0.2</v>
      </c>
      <c r="F36" s="3105" t="s">
        <v>2474</v>
      </c>
      <c r="G36" s="3105"/>
    </row>
    <row r="37" spans="1:7" ht="19.5" customHeight="1">
      <c r="A37" s="3842"/>
      <c r="B37" s="3844" t="s">
        <v>2635</v>
      </c>
      <c r="C37" s="3106" t="s">
        <v>2475</v>
      </c>
      <c r="D37" s="3107"/>
      <c r="E37" s="3108">
        <v>0.6</v>
      </c>
      <c r="F37" s="3105" t="s">
        <v>2476</v>
      </c>
      <c r="G37" s="3105"/>
    </row>
    <row r="38" spans="1:7" ht="19.5" customHeight="1">
      <c r="A38" s="3842"/>
      <c r="B38" s="3839"/>
      <c r="C38" s="3106" t="s">
        <v>2477</v>
      </c>
      <c r="D38" s="3107"/>
      <c r="E38" s="3108">
        <v>0.6</v>
      </c>
      <c r="F38" s="3105" t="s">
        <v>2478</v>
      </c>
      <c r="G38" s="3105"/>
    </row>
    <row r="39" spans="1:7" ht="19.5" customHeight="1" thickBot="1">
      <c r="A39" s="3843"/>
      <c r="B39" s="384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45" t="s">
        <v>2613</v>
      </c>
      <c r="B41" s="3838" t="s">
        <v>2637</v>
      </c>
      <c r="C41" s="3102" t="s">
        <v>2482</v>
      </c>
      <c r="D41" s="3103"/>
      <c r="E41" s="3104">
        <v>1</v>
      </c>
      <c r="F41" s="3105" t="s">
        <v>2483</v>
      </c>
      <c r="G41" s="3105"/>
    </row>
    <row r="42" spans="1:7" ht="19.5" customHeight="1">
      <c r="A42" s="3846"/>
      <c r="B42" s="3839"/>
      <c r="C42" s="3106" t="s">
        <v>2484</v>
      </c>
      <c r="D42" s="3107"/>
      <c r="E42" s="3108">
        <v>1</v>
      </c>
      <c r="F42" s="3105" t="s">
        <v>2485</v>
      </c>
      <c r="G42" s="3105"/>
    </row>
    <row r="43" spans="1:7" ht="19.5" customHeight="1">
      <c r="A43" s="3846"/>
      <c r="B43" s="3848"/>
      <c r="C43" s="3106" t="s">
        <v>2486</v>
      </c>
      <c r="D43" s="3107"/>
      <c r="E43" s="3108">
        <v>1.5</v>
      </c>
      <c r="F43" s="3105" t="s">
        <v>2487</v>
      </c>
      <c r="G43" s="3105"/>
    </row>
    <row r="44" spans="1:7" ht="19.5" customHeight="1">
      <c r="A44" s="3846"/>
      <c r="B44" s="3117" t="s">
        <v>2638</v>
      </c>
      <c r="C44" s="3106" t="s">
        <v>2639</v>
      </c>
      <c r="D44" s="3107"/>
      <c r="E44" s="3108">
        <v>2</v>
      </c>
      <c r="F44" s="3105" t="s">
        <v>2488</v>
      </c>
      <c r="G44" s="3105"/>
    </row>
    <row r="45" spans="1:7" ht="19.5" customHeight="1">
      <c r="A45" s="3846"/>
      <c r="B45" s="3844" t="s">
        <v>2640</v>
      </c>
      <c r="C45" s="3106" t="s">
        <v>2489</v>
      </c>
      <c r="D45" s="3107"/>
      <c r="E45" s="3108">
        <v>1</v>
      </c>
      <c r="F45" s="3105" t="s">
        <v>2490</v>
      </c>
      <c r="G45" s="3105"/>
    </row>
    <row r="46" spans="1:7" ht="19.5" customHeight="1">
      <c r="A46" s="3846"/>
      <c r="B46" s="3839"/>
      <c r="C46" s="3106" t="s">
        <v>2491</v>
      </c>
      <c r="D46" s="3107"/>
      <c r="E46" s="3108">
        <v>1</v>
      </c>
      <c r="F46" s="3105" t="s">
        <v>2492</v>
      </c>
      <c r="G46" s="3105"/>
    </row>
    <row r="47" spans="1:7" ht="19.5" customHeight="1">
      <c r="A47" s="3846"/>
      <c r="B47" s="3839"/>
      <c r="C47" s="3106" t="s">
        <v>2493</v>
      </c>
      <c r="D47" s="3107"/>
      <c r="E47" s="3108">
        <v>1</v>
      </c>
      <c r="F47" s="3105" t="s">
        <v>2494</v>
      </c>
      <c r="G47" s="3105"/>
    </row>
    <row r="48" spans="1:7" ht="19.5" customHeight="1">
      <c r="A48" s="3846"/>
      <c r="B48" s="3839"/>
      <c r="C48" s="3106" t="s">
        <v>2495</v>
      </c>
      <c r="D48" s="3107"/>
      <c r="E48" s="3108">
        <v>1</v>
      </c>
      <c r="F48" s="3105" t="s">
        <v>2496</v>
      </c>
      <c r="G48" s="3105"/>
    </row>
    <row r="49" spans="1:7" ht="19.5" customHeight="1">
      <c r="A49" s="3846"/>
      <c r="B49" s="3839"/>
      <c r="C49" s="3106" t="s">
        <v>2497</v>
      </c>
      <c r="D49" s="3107"/>
      <c r="E49" s="3108">
        <v>1</v>
      </c>
      <c r="F49" s="3105" t="s">
        <v>2498</v>
      </c>
      <c r="G49" s="3105"/>
    </row>
    <row r="50" spans="1:7" ht="19.5" customHeight="1">
      <c r="A50" s="3846"/>
      <c r="B50" s="3839"/>
      <c r="C50" s="3106" t="s">
        <v>2499</v>
      </c>
      <c r="D50" s="3107"/>
      <c r="E50" s="3108">
        <v>1</v>
      </c>
      <c r="F50" s="3105" t="s">
        <v>2500</v>
      </c>
      <c r="G50" s="3105"/>
    </row>
    <row r="51" spans="1:7" ht="19.5" customHeight="1" thickBot="1">
      <c r="A51" s="3847"/>
      <c r="B51" s="384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44" t="s">
        <v>2654</v>
      </c>
      <c r="C73" s="3091" t="s">
        <v>2655</v>
      </c>
      <c r="D73" s="3091" t="s">
        <v>2656</v>
      </c>
      <c r="E73" s="3117">
        <v>0.2</v>
      </c>
      <c r="F73" s="3117">
        <v>25</v>
      </c>
    </row>
    <row r="74" spans="1:7" ht="24">
      <c r="A74" s="3117">
        <v>2</v>
      </c>
      <c r="B74" s="3839"/>
      <c r="C74" s="3091" t="s">
        <v>2657</v>
      </c>
      <c r="D74" s="3091" t="s">
        <v>2658</v>
      </c>
      <c r="E74" s="3117">
        <v>0.2</v>
      </c>
      <c r="F74" s="3117">
        <v>25</v>
      </c>
    </row>
    <row r="75" spans="1:7" ht="24">
      <c r="A75" s="3117">
        <v>3</v>
      </c>
      <c r="B75" s="3839"/>
      <c r="C75" s="3091" t="s">
        <v>2659</v>
      </c>
      <c r="D75" s="3091" t="s">
        <v>2660</v>
      </c>
      <c r="E75" s="3117">
        <v>0.2</v>
      </c>
      <c r="F75" s="3117">
        <v>25</v>
      </c>
    </row>
    <row r="76" spans="1:7" ht="13.5">
      <c r="A76" s="3117">
        <v>4</v>
      </c>
      <c r="B76" s="3839"/>
      <c r="C76" s="3091" t="s">
        <v>2661</v>
      </c>
      <c r="D76" s="3091" t="s">
        <v>2662</v>
      </c>
      <c r="E76" s="3117">
        <v>0.15</v>
      </c>
      <c r="F76" s="3117">
        <v>20</v>
      </c>
    </row>
    <row r="77" spans="1:7" ht="24">
      <c r="A77" s="3117">
        <v>5</v>
      </c>
      <c r="B77" s="3839"/>
      <c r="C77" s="3091" t="s">
        <v>2663</v>
      </c>
      <c r="D77" s="3091" t="s">
        <v>2664</v>
      </c>
      <c r="E77" s="3117">
        <v>0.15</v>
      </c>
      <c r="F77" s="3117">
        <v>20</v>
      </c>
    </row>
    <row r="78" spans="1:7" ht="24">
      <c r="A78" s="3117">
        <v>6</v>
      </c>
      <c r="B78" s="3839"/>
      <c r="C78" s="3091" t="s">
        <v>2665</v>
      </c>
      <c r="D78" s="3091" t="s">
        <v>2666</v>
      </c>
      <c r="E78" s="3117">
        <v>0.15</v>
      </c>
      <c r="F78" s="3117">
        <v>20</v>
      </c>
    </row>
    <row r="79" spans="1:7" ht="24">
      <c r="A79" s="3117">
        <v>7</v>
      </c>
      <c r="B79" s="3839"/>
      <c r="C79" s="3091" t="s">
        <v>2667</v>
      </c>
      <c r="D79" s="3091" t="s">
        <v>2668</v>
      </c>
      <c r="E79" s="3117">
        <v>0.15</v>
      </c>
      <c r="F79" s="3117">
        <v>20</v>
      </c>
    </row>
    <row r="80" spans="1:7" ht="24">
      <c r="A80" s="3117">
        <v>8</v>
      </c>
      <c r="B80" s="3839"/>
      <c r="C80" s="3091" t="s">
        <v>2669</v>
      </c>
      <c r="D80" s="3091" t="s">
        <v>2670</v>
      </c>
      <c r="E80" s="3117">
        <v>0.1</v>
      </c>
      <c r="F80" s="3117">
        <v>15</v>
      </c>
    </row>
    <row r="81" spans="1:6" ht="24">
      <c r="A81" s="3117">
        <v>9</v>
      </c>
      <c r="B81" s="3839"/>
      <c r="C81" s="3091" t="s">
        <v>2671</v>
      </c>
      <c r="D81" s="3091" t="s">
        <v>2672</v>
      </c>
      <c r="E81" s="3117">
        <v>0.1</v>
      </c>
      <c r="F81" s="3117">
        <v>15</v>
      </c>
    </row>
    <row r="82" spans="1:6" ht="24">
      <c r="A82" s="3117">
        <v>10</v>
      </c>
      <c r="B82" s="3839"/>
      <c r="C82" s="3091" t="s">
        <v>2673</v>
      </c>
      <c r="D82" s="3091" t="s">
        <v>2674</v>
      </c>
      <c r="E82" s="3117">
        <v>0.1</v>
      </c>
      <c r="F82" s="3117">
        <v>15</v>
      </c>
    </row>
    <row r="83" spans="1:6" ht="24">
      <c r="A83" s="3117">
        <v>11</v>
      </c>
      <c r="B83" s="3839"/>
      <c r="C83" s="3091" t="s">
        <v>2675</v>
      </c>
      <c r="D83" s="3091" t="s">
        <v>2676</v>
      </c>
      <c r="E83" s="3117">
        <v>0.1</v>
      </c>
      <c r="F83" s="3117">
        <v>15</v>
      </c>
    </row>
    <row r="84" spans="1:6" ht="24">
      <c r="A84" s="3117">
        <v>12</v>
      </c>
      <c r="B84" s="3839"/>
      <c r="C84" s="3091" t="s">
        <v>2677</v>
      </c>
      <c r="D84" s="3091" t="s">
        <v>2678</v>
      </c>
      <c r="E84" s="3117">
        <v>0.1</v>
      </c>
      <c r="F84" s="3117">
        <v>15</v>
      </c>
    </row>
    <row r="85" spans="1:6" ht="13.5">
      <c r="A85" s="3117">
        <v>13</v>
      </c>
      <c r="B85" s="3839"/>
      <c r="C85" s="3091" t="s">
        <v>2679</v>
      </c>
      <c r="D85" s="3091" t="s">
        <v>2680</v>
      </c>
      <c r="E85" s="3117">
        <v>0.1</v>
      </c>
      <c r="F85" s="3117">
        <v>15</v>
      </c>
    </row>
    <row r="86" spans="1:6" ht="13.5">
      <c r="A86" s="3117">
        <v>14</v>
      </c>
      <c r="B86" s="3839"/>
      <c r="C86" s="3091" t="s">
        <v>2681</v>
      </c>
      <c r="D86" s="3091" t="s">
        <v>2682</v>
      </c>
      <c r="E86" s="3117">
        <v>0.1</v>
      </c>
      <c r="F86" s="3117">
        <v>15</v>
      </c>
    </row>
    <row r="87" spans="1:6" ht="13.5">
      <c r="A87" s="3117">
        <v>15</v>
      </c>
      <c r="B87" s="3839"/>
      <c r="C87" s="3091" t="s">
        <v>2683</v>
      </c>
      <c r="D87" s="3091" t="s">
        <v>2684</v>
      </c>
      <c r="E87" s="3117">
        <v>0.1</v>
      </c>
      <c r="F87" s="3117">
        <v>15</v>
      </c>
    </row>
    <row r="88" spans="1:6" ht="24">
      <c r="A88" s="3117">
        <v>16</v>
      </c>
      <c r="B88" s="3839"/>
      <c r="C88" s="3091" t="s">
        <v>2685</v>
      </c>
      <c r="D88" s="3091" t="s">
        <v>2686</v>
      </c>
      <c r="E88" s="3117">
        <v>0.1</v>
      </c>
      <c r="F88" s="3117">
        <v>15</v>
      </c>
    </row>
    <row r="89" spans="1:6" ht="24">
      <c r="A89" s="3117">
        <v>17</v>
      </c>
      <c r="B89" s="3848"/>
      <c r="C89" s="3091" t="s">
        <v>2687</v>
      </c>
      <c r="D89" s="3091" t="s">
        <v>2688</v>
      </c>
      <c r="E89" s="3117">
        <v>0.1</v>
      </c>
      <c r="F89" s="3117">
        <v>15</v>
      </c>
    </row>
    <row r="90" spans="1:6" ht="13.5">
      <c r="A90" s="3117">
        <v>18</v>
      </c>
      <c r="B90" s="3844" t="s">
        <v>2689</v>
      </c>
      <c r="C90" s="3091" t="s">
        <v>2690</v>
      </c>
      <c r="D90" s="3091" t="s">
        <v>2691</v>
      </c>
      <c r="E90" s="3117">
        <v>0.2</v>
      </c>
      <c r="F90" s="3117">
        <v>25</v>
      </c>
    </row>
    <row r="91" spans="1:6" ht="24">
      <c r="A91" s="3117">
        <v>19</v>
      </c>
      <c r="B91" s="3839"/>
      <c r="C91" s="3091" t="s">
        <v>2692</v>
      </c>
      <c r="D91" s="3091" t="s">
        <v>2693</v>
      </c>
      <c r="E91" s="3117">
        <v>0.2</v>
      </c>
      <c r="F91" s="3117">
        <v>25</v>
      </c>
    </row>
    <row r="92" spans="1:6" ht="13.5">
      <c r="A92" s="3117">
        <v>20</v>
      </c>
      <c r="B92" s="3839"/>
      <c r="C92" s="3091" t="s">
        <v>2694</v>
      </c>
      <c r="D92" s="3091" t="s">
        <v>2695</v>
      </c>
      <c r="E92" s="3117">
        <v>0.15</v>
      </c>
      <c r="F92" s="3117">
        <v>20</v>
      </c>
    </row>
    <row r="93" spans="1:6" ht="13.5">
      <c r="A93" s="3117">
        <v>21</v>
      </c>
      <c r="B93" s="3839"/>
      <c r="C93" s="3091" t="s">
        <v>2696</v>
      </c>
      <c r="D93" s="3091" t="s">
        <v>2697</v>
      </c>
      <c r="E93" s="3117">
        <v>0.15</v>
      </c>
      <c r="F93" s="3117">
        <v>20</v>
      </c>
    </row>
    <row r="94" spans="1:6" ht="13.5">
      <c r="A94" s="3117">
        <v>22</v>
      </c>
      <c r="B94" s="3839"/>
      <c r="C94" s="3091" t="s">
        <v>2698</v>
      </c>
      <c r="D94" s="3091" t="s">
        <v>2699</v>
      </c>
      <c r="E94" s="3117">
        <v>0.15</v>
      </c>
      <c r="F94" s="3117">
        <v>20</v>
      </c>
    </row>
    <row r="95" spans="1:6" ht="36">
      <c r="A95" s="3117">
        <v>23</v>
      </c>
      <c r="B95" s="3839"/>
      <c r="C95" s="3091" t="s">
        <v>2700</v>
      </c>
      <c r="D95" s="3091" t="s">
        <v>2701</v>
      </c>
      <c r="E95" s="3117">
        <v>0.15</v>
      </c>
      <c r="F95" s="3117">
        <v>20</v>
      </c>
    </row>
    <row r="96" spans="1:6" ht="13.5">
      <c r="A96" s="3117">
        <v>24</v>
      </c>
      <c r="B96" s="3839"/>
      <c r="C96" s="3091" t="s">
        <v>2702</v>
      </c>
      <c r="D96" s="3091" t="s">
        <v>2703</v>
      </c>
      <c r="E96" s="3117">
        <v>0.1</v>
      </c>
      <c r="F96" s="3117">
        <v>15</v>
      </c>
    </row>
    <row r="97" spans="1:6" ht="13.5">
      <c r="A97" s="3117">
        <v>25</v>
      </c>
      <c r="B97" s="3839"/>
      <c r="C97" s="3091" t="s">
        <v>2704</v>
      </c>
      <c r="D97" s="3091" t="s">
        <v>2705</v>
      </c>
      <c r="E97" s="3117">
        <v>0.1</v>
      </c>
      <c r="F97" s="3117">
        <v>15</v>
      </c>
    </row>
    <row r="98" spans="1:6" ht="24">
      <c r="A98" s="3117">
        <v>26</v>
      </c>
      <c r="B98" s="3839"/>
      <c r="C98" s="3091" t="s">
        <v>2706</v>
      </c>
      <c r="D98" s="3091" t="s">
        <v>2707</v>
      </c>
      <c r="E98" s="3117">
        <v>0.1</v>
      </c>
      <c r="F98" s="3117">
        <v>15</v>
      </c>
    </row>
    <row r="99" spans="1:6" ht="24">
      <c r="A99" s="3117">
        <v>27</v>
      </c>
      <c r="B99" s="3839"/>
      <c r="C99" s="3091" t="s">
        <v>2708</v>
      </c>
      <c r="D99" s="3091" t="s">
        <v>2709</v>
      </c>
      <c r="E99" s="3117">
        <v>0.1</v>
      </c>
      <c r="F99" s="3117">
        <v>15</v>
      </c>
    </row>
    <row r="100" spans="1:6" ht="13.5">
      <c r="A100" s="3117">
        <v>28</v>
      </c>
      <c r="B100" s="3839"/>
      <c r="C100" s="3091" t="s">
        <v>2710</v>
      </c>
      <c r="D100" s="3091" t="s">
        <v>2711</v>
      </c>
      <c r="E100" s="3117">
        <v>0.1</v>
      </c>
      <c r="F100" s="3117">
        <v>15</v>
      </c>
    </row>
    <row r="101" spans="1:6" ht="13.5">
      <c r="A101" s="3117">
        <v>29</v>
      </c>
      <c r="B101" s="3839"/>
      <c r="C101" s="3091" t="s">
        <v>2712</v>
      </c>
      <c r="D101" s="3091" t="s">
        <v>2713</v>
      </c>
      <c r="E101" s="3117">
        <v>0.1</v>
      </c>
      <c r="F101" s="3117">
        <v>15</v>
      </c>
    </row>
    <row r="102" spans="1:6" ht="13.5">
      <c r="A102" s="3117">
        <v>30</v>
      </c>
      <c r="B102" s="3839"/>
      <c r="C102" s="3091" t="s">
        <v>2714</v>
      </c>
      <c r="D102" s="3091" t="s">
        <v>2715</v>
      </c>
      <c r="E102" s="3117">
        <v>0.1</v>
      </c>
      <c r="F102" s="3117">
        <v>15</v>
      </c>
    </row>
    <row r="103" spans="1:6" ht="24">
      <c r="A103" s="3117">
        <v>31</v>
      </c>
      <c r="B103" s="3839"/>
      <c r="C103" s="3091" t="s">
        <v>2716</v>
      </c>
      <c r="D103" s="3091" t="s">
        <v>2717</v>
      </c>
      <c r="E103" s="3117">
        <v>0.1</v>
      </c>
      <c r="F103" s="3117">
        <v>15</v>
      </c>
    </row>
    <row r="104" spans="1:6" ht="24">
      <c r="A104" s="3117">
        <v>32</v>
      </c>
      <c r="B104" s="3839"/>
      <c r="C104" s="3091" t="s">
        <v>2718</v>
      </c>
      <c r="D104" s="3091" t="s">
        <v>2719</v>
      </c>
      <c r="E104" s="3117">
        <v>0.1</v>
      </c>
      <c r="F104" s="3117">
        <v>15</v>
      </c>
    </row>
    <row r="105" spans="1:6" ht="24">
      <c r="A105" s="3117">
        <v>33</v>
      </c>
      <c r="B105" s="3839"/>
      <c r="C105" s="3091" t="s">
        <v>2720</v>
      </c>
      <c r="D105" s="3091" t="s">
        <v>2721</v>
      </c>
      <c r="E105" s="3117">
        <v>0.1</v>
      </c>
      <c r="F105" s="3117">
        <v>15</v>
      </c>
    </row>
    <row r="106" spans="1:6" ht="24">
      <c r="A106" s="3117">
        <v>34</v>
      </c>
      <c r="B106" s="3848"/>
      <c r="C106" s="3091" t="s">
        <v>2722</v>
      </c>
      <c r="D106" s="3091" t="s">
        <v>2723</v>
      </c>
      <c r="E106" s="3117">
        <v>0.1</v>
      </c>
      <c r="F106" s="3117">
        <v>15</v>
      </c>
    </row>
    <row r="107" spans="1:6" ht="24">
      <c r="A107" s="3117">
        <v>35</v>
      </c>
      <c r="B107" s="3844" t="s">
        <v>2724</v>
      </c>
      <c r="C107" s="3117" t="s">
        <v>2725</v>
      </c>
      <c r="D107" s="3091" t="s">
        <v>2726</v>
      </c>
      <c r="E107" s="3117">
        <v>0.15</v>
      </c>
      <c r="F107" s="3117">
        <v>20</v>
      </c>
    </row>
    <row r="108" spans="1:6" ht="13.5">
      <c r="A108" s="3117">
        <v>36</v>
      </c>
      <c r="B108" s="3839"/>
      <c r="C108" s="3117" t="s">
        <v>2727</v>
      </c>
      <c r="D108" s="3091" t="s">
        <v>2728</v>
      </c>
      <c r="E108" s="3117">
        <v>0.15</v>
      </c>
      <c r="F108" s="3117">
        <v>20</v>
      </c>
    </row>
    <row r="109" spans="1:6" ht="13.5">
      <c r="A109" s="3117">
        <v>37</v>
      </c>
      <c r="B109" s="3839"/>
      <c r="C109" s="3117" t="s">
        <v>2729</v>
      </c>
      <c r="D109" s="3091" t="s">
        <v>2730</v>
      </c>
      <c r="E109" s="3117">
        <v>0.15</v>
      </c>
      <c r="F109" s="3117">
        <v>20</v>
      </c>
    </row>
    <row r="110" spans="1:6" ht="13.5">
      <c r="A110" s="3117">
        <v>38</v>
      </c>
      <c r="B110" s="3839"/>
      <c r="C110" s="3117" t="s">
        <v>2731</v>
      </c>
      <c r="D110" s="3091" t="s">
        <v>2732</v>
      </c>
      <c r="E110" s="3117">
        <v>0.1</v>
      </c>
      <c r="F110" s="3117">
        <v>15</v>
      </c>
    </row>
    <row r="111" spans="1:6" ht="24">
      <c r="A111" s="3117">
        <v>39</v>
      </c>
      <c r="B111" s="3839"/>
      <c r="C111" s="3117" t="s">
        <v>2733</v>
      </c>
      <c r="D111" s="3091" t="s">
        <v>2734</v>
      </c>
      <c r="E111" s="3117">
        <v>0.1</v>
      </c>
      <c r="F111" s="3117">
        <v>15</v>
      </c>
    </row>
    <row r="112" spans="1:6" ht="24">
      <c r="A112" s="3117">
        <v>40</v>
      </c>
      <c r="B112" s="3848"/>
      <c r="C112" s="3117" t="s">
        <v>2735</v>
      </c>
      <c r="D112" s="3091" t="s">
        <v>2736</v>
      </c>
      <c r="E112" s="3117">
        <v>0.1</v>
      </c>
      <c r="F112" s="3117">
        <v>15</v>
      </c>
    </row>
    <row r="113" spans="1:6" ht="13.5">
      <c r="A113" s="3117">
        <v>41</v>
      </c>
      <c r="B113" s="3849" t="s">
        <v>2737</v>
      </c>
      <c r="C113" s="3117" t="s">
        <v>2738</v>
      </c>
      <c r="D113" s="3091" t="s">
        <v>2739</v>
      </c>
      <c r="E113" s="3117">
        <v>0.1</v>
      </c>
      <c r="F113" s="3117">
        <v>15</v>
      </c>
    </row>
    <row r="114" spans="1:6" ht="13.5">
      <c r="A114" s="3117">
        <v>42</v>
      </c>
      <c r="B114" s="3849"/>
      <c r="C114" s="3117" t="s">
        <v>2740</v>
      </c>
      <c r="D114" s="3091" t="s">
        <v>2741</v>
      </c>
      <c r="E114" s="3117">
        <v>0.1</v>
      </c>
      <c r="F114" s="3117">
        <v>15</v>
      </c>
    </row>
    <row r="115" spans="1:6" ht="24">
      <c r="A115" s="3117">
        <v>43</v>
      </c>
      <c r="B115" s="3849"/>
      <c r="C115" s="3117" t="s">
        <v>2742</v>
      </c>
      <c r="D115" s="3091" t="s">
        <v>2743</v>
      </c>
      <c r="E115" s="3117">
        <v>0.1</v>
      </c>
      <c r="F115" s="3117">
        <v>15</v>
      </c>
    </row>
    <row r="116" spans="1:6" ht="13.5">
      <c r="A116" s="3117">
        <v>44</v>
      </c>
      <c r="B116" s="3844" t="s">
        <v>2744</v>
      </c>
      <c r="C116" s="3117" t="s">
        <v>2745</v>
      </c>
      <c r="D116" s="3091" t="s">
        <v>2746</v>
      </c>
      <c r="E116" s="3117">
        <v>0.1</v>
      </c>
      <c r="F116" s="3117">
        <v>15</v>
      </c>
    </row>
    <row r="117" spans="1:6" ht="24">
      <c r="A117" s="3117">
        <v>45</v>
      </c>
      <c r="B117" s="3848"/>
      <c r="C117" s="3091" t="s">
        <v>2747</v>
      </c>
      <c r="D117" s="3091" t="s">
        <v>2748</v>
      </c>
      <c r="E117" s="3117">
        <v>0.1</v>
      </c>
      <c r="F117" s="3117">
        <v>15</v>
      </c>
    </row>
    <row r="118" spans="1:6" ht="24">
      <c r="A118" s="3117">
        <v>46</v>
      </c>
      <c r="B118" s="3844" t="s">
        <v>2749</v>
      </c>
      <c r="C118" s="3117" t="s">
        <v>2750</v>
      </c>
      <c r="D118" s="3091" t="s">
        <v>2751</v>
      </c>
      <c r="E118" s="3117">
        <v>0.1</v>
      </c>
      <c r="F118" s="3117">
        <v>15</v>
      </c>
    </row>
    <row r="119" spans="1:6" ht="24">
      <c r="A119" s="3117">
        <v>47</v>
      </c>
      <c r="B119" s="3848"/>
      <c r="C119" s="3117" t="s">
        <v>2752</v>
      </c>
      <c r="D119" s="3091" t="s">
        <v>2753</v>
      </c>
      <c r="E119" s="3117">
        <v>0.1</v>
      </c>
      <c r="F119" s="3117">
        <v>15</v>
      </c>
    </row>
    <row r="120" spans="1:6" ht="13.5">
      <c r="A120" s="3117">
        <v>48</v>
      </c>
      <c r="B120" s="3844" t="s">
        <v>2754</v>
      </c>
      <c r="C120" s="3117" t="s">
        <v>2755</v>
      </c>
      <c r="D120" s="3091" t="s">
        <v>2756</v>
      </c>
      <c r="E120" s="3117">
        <v>0.1</v>
      </c>
      <c r="F120" s="3117">
        <v>15</v>
      </c>
    </row>
    <row r="121" spans="1:6" ht="13.5">
      <c r="A121" s="3117">
        <v>49</v>
      </c>
      <c r="B121" s="3848"/>
      <c r="C121" s="3117" t="s">
        <v>2757</v>
      </c>
      <c r="D121" s="3091" t="s">
        <v>2758</v>
      </c>
      <c r="E121" s="3117">
        <v>0.1</v>
      </c>
      <c r="F121" s="3117">
        <v>15</v>
      </c>
    </row>
    <row r="122" spans="1:6" ht="24">
      <c r="A122" s="3117">
        <v>50</v>
      </c>
      <c r="B122" s="3849" t="s">
        <v>2759</v>
      </c>
      <c r="C122" s="3117" t="s">
        <v>2760</v>
      </c>
      <c r="D122" s="3091" t="s">
        <v>2761</v>
      </c>
      <c r="E122" s="3117">
        <v>0.1</v>
      </c>
      <c r="F122" s="3117">
        <v>15</v>
      </c>
    </row>
    <row r="123" spans="1:6" ht="24">
      <c r="A123" s="3117">
        <v>51</v>
      </c>
      <c r="B123" s="3849"/>
      <c r="C123" s="3117" t="s">
        <v>2762</v>
      </c>
      <c r="D123" s="3091" t="s">
        <v>2763</v>
      </c>
      <c r="E123" s="3117">
        <v>0.1</v>
      </c>
      <c r="F123" s="3117">
        <v>15</v>
      </c>
    </row>
    <row r="124" spans="1:6" ht="24">
      <c r="A124" s="3117">
        <v>52</v>
      </c>
      <c r="B124" s="3849" t="s">
        <v>2764</v>
      </c>
      <c r="C124" s="3117" t="s">
        <v>2765</v>
      </c>
      <c r="D124" s="3091" t="s">
        <v>2766</v>
      </c>
      <c r="E124" s="3117">
        <v>0.1</v>
      </c>
      <c r="F124" s="3117">
        <v>15</v>
      </c>
    </row>
    <row r="125" spans="1:6" ht="24">
      <c r="A125" s="3117">
        <v>53</v>
      </c>
      <c r="B125" s="384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49" t="s">
        <v>2772</v>
      </c>
      <c r="C127" s="3117" t="s">
        <v>2773</v>
      </c>
      <c r="D127" s="3091" t="s">
        <v>2774</v>
      </c>
      <c r="E127" s="3117">
        <v>0.1</v>
      </c>
      <c r="F127" s="3117">
        <v>15</v>
      </c>
    </row>
    <row r="128" spans="1:6" ht="13.5">
      <c r="A128" s="3117">
        <v>56</v>
      </c>
      <c r="B128" s="3849"/>
      <c r="C128" s="3117" t="s">
        <v>2775</v>
      </c>
      <c r="D128" s="3091" t="s">
        <v>2776</v>
      </c>
      <c r="E128" s="3117">
        <v>0.1</v>
      </c>
      <c r="F128" s="3117">
        <v>15</v>
      </c>
    </row>
    <row r="129" spans="1:6" ht="24">
      <c r="A129" s="3117">
        <v>57</v>
      </c>
      <c r="B129" s="3849"/>
      <c r="C129" s="3117" t="s">
        <v>2777</v>
      </c>
      <c r="D129" s="3091" t="s">
        <v>2778</v>
      </c>
      <c r="E129" s="3117">
        <v>0.1</v>
      </c>
      <c r="F129" s="3117">
        <v>15</v>
      </c>
    </row>
    <row r="130" spans="1:6" ht="24">
      <c r="A130" s="3117">
        <v>58</v>
      </c>
      <c r="B130" s="3849" t="s">
        <v>2779</v>
      </c>
      <c r="C130" s="3117" t="s">
        <v>2780</v>
      </c>
      <c r="D130" s="3091" t="s">
        <v>2781</v>
      </c>
      <c r="E130" s="3117">
        <v>0.1</v>
      </c>
      <c r="F130" s="3117">
        <v>15</v>
      </c>
    </row>
    <row r="131" spans="1:6" ht="13.5">
      <c r="A131" s="3117">
        <v>59</v>
      </c>
      <c r="B131" s="3849"/>
      <c r="C131" s="3117" t="s">
        <v>2782</v>
      </c>
      <c r="D131" s="3091" t="s">
        <v>2783</v>
      </c>
      <c r="E131" s="3117">
        <v>0.1</v>
      </c>
      <c r="F131" s="3117">
        <v>15</v>
      </c>
    </row>
    <row r="132" spans="1:6" ht="13.5">
      <c r="A132" s="3117">
        <v>60</v>
      </c>
      <c r="B132" s="3844" t="s">
        <v>2784</v>
      </c>
      <c r="C132" s="3117" t="s">
        <v>2785</v>
      </c>
      <c r="D132" s="3091" t="s">
        <v>2786</v>
      </c>
      <c r="E132" s="3117">
        <v>0.1</v>
      </c>
      <c r="F132" s="3117">
        <v>15</v>
      </c>
    </row>
    <row r="133" spans="1:6" ht="13.5">
      <c r="A133" s="3117">
        <v>61</v>
      </c>
      <c r="B133" s="384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49" t="s">
        <v>2792</v>
      </c>
      <c r="C135" s="3117" t="s">
        <v>2793</v>
      </c>
      <c r="D135" s="3091" t="s">
        <v>2794</v>
      </c>
      <c r="E135" s="3117">
        <v>0.1</v>
      </c>
      <c r="F135" s="3117">
        <v>15</v>
      </c>
    </row>
    <row r="136" spans="1:6" ht="13.5">
      <c r="A136" s="3117">
        <v>64</v>
      </c>
      <c r="B136" s="384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30841</v>
      </c>
      <c r="C2" s="2" t="s">
        <v>106</v>
      </c>
      <c r="D2" s="199"/>
      <c r="E2" s="199"/>
      <c r="F2" s="199"/>
      <c r="G2" s="199"/>
    </row>
    <row r="3" spans="1:7" s="200" customFormat="1" ht="18" customHeight="1" thickBot="1">
      <c r="A3" s="203" t="s">
        <v>58</v>
      </c>
      <c r="B3" s="204">
        <f ca="1">ROUND(B2*10000/'数据-汇总表'!E3,0)</f>
        <v>1710253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180.33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180.33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4</v>
      </c>
      <c r="D37" s="217">
        <f>'数据-汇总表'!E3</f>
        <v>180.33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713" t="s">
        <v>94</v>
      </c>
    </row>
    <row r="43" spans="1:7" ht="13.5" customHeight="1">
      <c r="A43" s="780" t="s">
        <v>347</v>
      </c>
      <c r="B43" s="215" t="s">
        <v>426</v>
      </c>
      <c r="C43" s="238">
        <f ca="1">ROUND(IF('数据-取费表'!B22&lt;=1,C39*F22*'数据-取费表'!B21/2,C39*(POWER((1+F22),'数据-取费表'!B21/2)-1)),0)</f>
        <v>0</v>
      </c>
      <c r="D43" s="238"/>
      <c r="E43" s="238"/>
      <c r="F43" s="239"/>
      <c r="G43" s="3714"/>
    </row>
    <row r="44" spans="1:7" ht="13.5" customHeight="1">
      <c r="A44" s="780" t="s">
        <v>348</v>
      </c>
      <c r="B44" s="215" t="s">
        <v>428</v>
      </c>
      <c r="C44" s="238">
        <f ca="1">ROUND(IF('数据-取费表'!B22&lt;=1,C40*F22*'数据-取费表'!B21/2,C40*(POWER((1+F22),'数据-取费表'!B21/2)-1)),4)</f>
        <v>1E-3</v>
      </c>
      <c r="D44" s="238"/>
      <c r="E44" s="238"/>
      <c r="F44" s="239"/>
      <c r="G44" s="3715"/>
    </row>
    <row r="45" spans="1:7" s="214" customFormat="1" ht="13.5" customHeight="1">
      <c r="A45" s="777" t="s">
        <v>341</v>
      </c>
      <c r="B45" s="244" t="s">
        <v>85</v>
      </c>
      <c r="C45" s="245">
        <f>C46</f>
        <v>21</v>
      </c>
      <c r="D45" s="235">
        <f>C47</f>
        <v>5.0000000000000001E-3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95</v>
      </c>
      <c r="D51" s="232"/>
      <c r="E51" s="232"/>
      <c r="F51" s="264"/>
      <c r="G51" s="234" t="s">
        <v>37</v>
      </c>
    </row>
    <row r="52" spans="1:7" s="208" customFormat="1" ht="16.5" thickBot="1">
      <c r="A52" s="265" t="s">
        <v>38</v>
      </c>
      <c r="B52" s="266"/>
      <c r="C52" s="267">
        <f ca="1">C31+C51</f>
        <v>30841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2" t="s">
        <v>2844</v>
      </c>
      <c r="B1" s="3852"/>
      <c r="C1" s="3852"/>
      <c r="D1" s="3852"/>
      <c r="E1" s="3852"/>
      <c r="F1" s="3852"/>
      <c r="G1" s="3853"/>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50"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51"/>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4" t="s">
        <v>3186</v>
      </c>
      <c r="B1" s="3854"/>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5" t="s">
        <v>3237</v>
      </c>
      <c r="B1" s="3855"/>
      <c r="C1" s="3855"/>
      <c r="D1" s="3855"/>
      <c r="E1" s="3855"/>
      <c r="F1" s="3856"/>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41" t="str">
        <f>IF(项目基本情况!B9="房地产市场价值","估价结果一览表","结果表-2")</f>
        <v>结果表-2</v>
      </c>
      <c r="B1" s="3541"/>
      <c r="C1" s="3541"/>
      <c r="D1" s="3541"/>
      <c r="E1" s="3541"/>
      <c r="F1" s="3541"/>
      <c r="G1" s="3541"/>
      <c r="H1" s="3541"/>
      <c r="I1" s="3541"/>
    </row>
    <row r="2" spans="1:9" ht="30" customHeight="1" thickTop="1">
      <c r="A2" s="3542" t="s">
        <v>928</v>
      </c>
      <c r="B2" s="3542" t="s">
        <v>929</v>
      </c>
      <c r="C2" s="3542" t="s">
        <v>930</v>
      </c>
      <c r="D2" s="3542" t="str">
        <f>结果表!D116</f>
        <v>出让国有建设用地使用权价值</v>
      </c>
      <c r="E2" s="3542"/>
      <c r="F2" s="3542" t="str">
        <f>结果表!F116</f>
        <v>在建建筑物价值</v>
      </c>
      <c r="G2" s="3542"/>
      <c r="H2" s="3542" t="str">
        <f>IF(项目基本情况!B9="房地产市场价值","房地产市场价值","房地产价值")</f>
        <v>房地产价值</v>
      </c>
      <c r="I2" s="3542"/>
    </row>
    <row r="3" spans="1:9" ht="15">
      <c r="A3" s="3543"/>
      <c r="B3" s="3543"/>
      <c r="C3" s="3543"/>
      <c r="D3" s="854" t="s">
        <v>925</v>
      </c>
      <c r="E3" s="854" t="s">
        <v>931</v>
      </c>
      <c r="F3" s="854" t="s">
        <v>925</v>
      </c>
      <c r="G3" s="854" t="s">
        <v>926</v>
      </c>
      <c r="H3" s="854" t="s">
        <v>925</v>
      </c>
      <c r="I3" s="854" t="s">
        <v>926</v>
      </c>
    </row>
    <row r="4" spans="1:9" ht="15">
      <c r="A4" s="1504" t="str">
        <f>项目基本情况!S2</f>
        <v>北京市房地产</v>
      </c>
      <c r="B4" s="854">
        <f>项目基本情况!C17</f>
        <v>180.33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3" t="s">
        <v>927</v>
      </c>
      <c r="B5" s="3543"/>
      <c r="C5" s="3543"/>
      <c r="D5" s="3543" t="e">
        <f ca="1">结果表!D119</f>
        <v>#REF!</v>
      </c>
      <c r="E5" s="3543"/>
      <c r="F5" s="3543" t="e">
        <f ca="1">结果表!F119</f>
        <v>#REF!</v>
      </c>
      <c r="G5" s="3543"/>
      <c r="H5" s="3543" t="e">
        <f ca="1">结果表!H119</f>
        <v>#REF!</v>
      </c>
      <c r="I5" s="3543"/>
    </row>
    <row r="6" spans="1:9" ht="15.75">
      <c r="A6" s="3544" t="str">
        <f>结果表!A120</f>
        <v>估价师知悉的法定优先受偿款</v>
      </c>
      <c r="B6" s="3544"/>
      <c r="C6" s="3544"/>
      <c r="D6" s="3544">
        <f>结果表!D120</f>
        <v>0</v>
      </c>
      <c r="E6" s="3544"/>
      <c r="F6" s="3544"/>
      <c r="G6" s="3544"/>
      <c r="H6" s="3544"/>
      <c r="I6" s="3544"/>
    </row>
    <row r="7" spans="1:9" ht="15">
      <c r="A7" s="3543" t="s">
        <v>927</v>
      </c>
      <c r="B7" s="3543"/>
      <c r="C7" s="3543"/>
      <c r="D7" s="3545" t="str">
        <f>结果表!D121</f>
        <v>零元整</v>
      </c>
      <c r="E7" s="3546"/>
      <c r="F7" s="3546"/>
      <c r="G7" s="3546"/>
      <c r="H7" s="3546"/>
      <c r="I7" s="3547"/>
    </row>
    <row r="8" spans="1:9" ht="15.75">
      <c r="A8" s="3544" t="str">
        <f>结果表!A122</f>
        <v>房地产抵押价值</v>
      </c>
      <c r="B8" s="3544"/>
      <c r="C8" s="3544"/>
      <c r="D8" s="3544" t="e">
        <f ca="1">结果表!D122</f>
        <v>#REF!</v>
      </c>
      <c r="E8" s="3544"/>
      <c r="F8" s="3544"/>
      <c r="G8" s="3544"/>
      <c r="H8" s="3544"/>
      <c r="I8" s="3544"/>
    </row>
    <row r="9" spans="1:9" ht="15">
      <c r="A9" s="3543" t="s">
        <v>927</v>
      </c>
      <c r="B9" s="3543"/>
      <c r="C9" s="3543"/>
      <c r="D9" s="3543" t="e">
        <f ca="1">结果表!D123</f>
        <v>#REF!</v>
      </c>
      <c r="E9" s="3543"/>
      <c r="F9" s="3543"/>
      <c r="G9" s="3543"/>
      <c r="H9" s="3543"/>
      <c r="I9" s="3543"/>
    </row>
    <row r="10" spans="1:9" ht="15.75">
      <c r="A10" s="3544" t="str">
        <f>结果表!A124</f>
        <v/>
      </c>
      <c r="B10" s="3544"/>
      <c r="C10" s="3544"/>
      <c r="D10" s="3544" t="str">
        <f>结果表!D124</f>
        <v>——</v>
      </c>
      <c r="E10" s="3544"/>
      <c r="F10" s="3544"/>
      <c r="G10" s="3544"/>
      <c r="H10" s="3544"/>
      <c r="I10" s="3544"/>
    </row>
    <row r="11" spans="1:9" ht="15">
      <c r="A11" s="3543" t="s">
        <v>927</v>
      </c>
      <c r="B11" s="3543"/>
      <c r="C11" s="3543"/>
      <c r="D11" s="3543" t="e">
        <f>结果表!D125</f>
        <v>#VALUE!</v>
      </c>
      <c r="E11" s="3543"/>
      <c r="F11" s="3543"/>
      <c r="G11" s="3543"/>
      <c r="H11" s="3543"/>
      <c r="I11" s="3543"/>
    </row>
    <row r="12" spans="1:9" ht="15.75">
      <c r="A12" s="3544" t="str">
        <f>结果表!A126</f>
        <v/>
      </c>
      <c r="B12" s="3544"/>
      <c r="C12" s="3544"/>
      <c r="D12" s="3544" t="str">
        <f>结果表!D126</f>
        <v>——</v>
      </c>
      <c r="E12" s="3544"/>
      <c r="F12" s="3544"/>
      <c r="G12" s="3544"/>
      <c r="H12" s="3544"/>
      <c r="I12" s="3544"/>
    </row>
    <row r="13" spans="1:9" ht="15.75" thickBot="1">
      <c r="A13" s="3548" t="s">
        <v>927</v>
      </c>
      <c r="B13" s="3548"/>
      <c r="C13" s="3548"/>
      <c r="D13" s="3548" t="e">
        <f>结果表!D127</f>
        <v>#VALUE!</v>
      </c>
      <c r="E13" s="3548"/>
      <c r="F13" s="3548"/>
      <c r="G13" s="3548"/>
      <c r="H13" s="3548"/>
      <c r="I13" s="3548"/>
    </row>
    <row r="14" spans="1:9" ht="15" thickTop="1">
      <c r="A14" s="3549" t="s">
        <v>932</v>
      </c>
      <c r="B14" s="3549"/>
      <c r="C14" s="3549"/>
      <c r="D14" s="3549"/>
      <c r="E14" s="3549"/>
      <c r="F14" s="3549"/>
      <c r="G14" s="3549"/>
      <c r="H14" s="3549"/>
      <c r="I14" s="354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45364</v>
      </c>
      <c r="B1" s="3209" t="s">
        <v>2843</v>
      </c>
      <c r="C1" s="3210"/>
      <c r="D1" s="3210"/>
      <c r="E1" s="3210"/>
      <c r="F1" s="3210"/>
      <c r="G1" s="3210"/>
      <c r="H1" s="3210"/>
      <c r="I1" s="3210"/>
      <c r="J1" s="3164"/>
      <c r="K1" s="3210" t="s">
        <v>454</v>
      </c>
      <c r="L1" s="3210"/>
      <c r="M1" s="3210"/>
      <c r="N1" s="3210"/>
      <c r="O1" s="3210"/>
      <c r="P1" s="3210"/>
      <c r="Q1" s="3164"/>
      <c r="R1" s="3857" t="s">
        <v>456</v>
      </c>
      <c r="S1" s="3858"/>
      <c r="T1" s="3858"/>
      <c r="U1" s="3858"/>
      <c r="V1" s="3858"/>
      <c r="W1" s="3858"/>
      <c r="X1" s="3164"/>
      <c r="Y1" s="3857" t="s">
        <v>457</v>
      </c>
      <c r="Z1" s="3858"/>
      <c r="AA1" s="3858"/>
      <c r="AB1" s="3858"/>
      <c r="AC1" s="3858"/>
      <c r="AD1" s="385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57" t="s">
        <v>2831</v>
      </c>
      <c r="S21" s="3858"/>
      <c r="T21" s="3858"/>
      <c r="U21" s="3858"/>
      <c r="V21" s="3858"/>
      <c r="W21" s="3858"/>
      <c r="X21" s="3164"/>
      <c r="Y21" s="3857" t="s">
        <v>2832</v>
      </c>
      <c r="Z21" s="3858"/>
      <c r="AA21" s="3858"/>
      <c r="AB21" s="3858"/>
      <c r="AC21" s="3858"/>
      <c r="AD21" s="3858"/>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4" t="s">
        <v>452</v>
      </c>
      <c r="C1" s="3864"/>
      <c r="D1" s="3864"/>
      <c r="E1" s="3864"/>
      <c r="F1" s="3864"/>
      <c r="G1" s="3860" t="s">
        <v>453</v>
      </c>
      <c r="H1" s="3860"/>
      <c r="I1" s="3860"/>
      <c r="J1" s="3860"/>
      <c r="K1" s="3860"/>
      <c r="L1" s="3860"/>
      <c r="N1" s="3860" t="s">
        <v>454</v>
      </c>
      <c r="O1" s="3860"/>
      <c r="P1" s="3860"/>
      <c r="Q1" s="3860"/>
      <c r="S1" s="3860" t="s">
        <v>455</v>
      </c>
      <c r="T1" s="3860"/>
      <c r="U1" s="3860"/>
      <c r="V1" s="3860"/>
      <c r="X1" s="3859" t="s">
        <v>456</v>
      </c>
      <c r="Y1" s="3860"/>
      <c r="Z1" s="3860"/>
      <c r="AA1" s="3860"/>
      <c r="AB1" s="3860"/>
      <c r="AD1" s="3859" t="s">
        <v>457</v>
      </c>
      <c r="AE1" s="3860"/>
      <c r="AF1" s="3860"/>
      <c r="AG1" s="3860"/>
      <c r="AH1" s="386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45364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180.33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2245.3069</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180.33</v>
      </c>
      <c r="C14" s="2517"/>
      <c r="D14" s="2517">
        <f ca="1">ROUND(结果表!G20*'数据-汇总表'!E19/10000,4)</f>
        <v>2245.3069</v>
      </c>
      <c r="E14" s="2517">
        <f ca="1">ROUND(D14*10000/B14,0)</f>
        <v>124511</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50" t="s">
        <v>949</v>
      </c>
      <c r="B1" s="3550"/>
      <c r="C1" s="3550"/>
      <c r="D1" s="3550"/>
    </row>
    <row r="2" spans="1:4" ht="18">
      <c r="A2" s="3551" t="s">
        <v>933</v>
      </c>
      <c r="B2" s="3551"/>
      <c r="C2" s="3551"/>
      <c r="D2" s="3551"/>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51" t="s">
        <v>939</v>
      </c>
      <c r="B6" s="3551"/>
      <c r="C6" s="3551"/>
      <c r="D6" s="355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52" t="s">
        <v>942</v>
      </c>
      <c r="B11" s="3553"/>
      <c r="C11" s="3553"/>
      <c r="D11" s="3553"/>
    </row>
    <row r="12" spans="1:4" ht="15.75">
      <c r="A12" s="35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4"/>
      <c r="C12" s="3554"/>
      <c r="D12" s="3554"/>
    </row>
    <row r="13" spans="1:4" ht="30" customHeight="1">
      <c r="A13" s="3553" t="str">
        <f>IF(项目基本情况!B8="抵押","3.抵押双方在办理抵押登记手续时，应使用本公司出具的正式《房地产评估报告》，特提醒报告使用者注意。","——")</f>
        <v>——</v>
      </c>
      <c r="B13" s="3554"/>
      <c r="C13" s="3554"/>
      <c r="D13" s="3554"/>
    </row>
    <row r="14" spans="1:4" ht="15.75" customHeight="1">
      <c r="A14" s="3553" t="str">
        <f>IF(项目基本情况!B8="抵押","4.本次评估估价师所知悉的法定优先受偿款情况说明如下：","——")</f>
        <v>——</v>
      </c>
      <c r="B14" s="3554"/>
      <c r="C14" s="3554"/>
      <c r="D14" s="3554"/>
    </row>
    <row r="15" spans="1:4" ht="42" customHeight="1">
      <c r="A15" s="3553" t="str">
        <f>IF(项目基本情况!B8="抵押","（1）"&amp;CONCATENATE(项目基本情况!L20,项目基本情况!L21,项目基本情况!L22),"——")</f>
        <v>——</v>
      </c>
      <c r="B15" s="3553"/>
      <c r="C15" s="3553"/>
      <c r="D15" s="3553"/>
    </row>
    <row r="16" spans="1:4" ht="30" customHeight="1">
      <c r="A16" s="3556" t="s">
        <v>943</v>
      </c>
      <c r="B16" s="3556"/>
      <c r="C16" s="3556"/>
      <c r="D16" s="3556"/>
    </row>
    <row r="17" spans="1:4" ht="144" customHeight="1">
      <c r="A17" s="3556" t="s">
        <v>944</v>
      </c>
      <c r="B17" s="3556"/>
      <c r="C17" s="3556"/>
      <c r="D17" s="3556"/>
    </row>
    <row r="18" spans="1:4" ht="15.75" customHeight="1">
      <c r="A18" s="3553" t="str">
        <f>IF(项目基本情况!B8="抵押",结果表!K120,"——")</f>
        <v>——</v>
      </c>
      <c r="B18" s="3553"/>
      <c r="C18" s="3553"/>
      <c r="D18" s="3553"/>
    </row>
    <row r="19" spans="1:4" ht="46.5" customHeight="1">
      <c r="A19" s="35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3"/>
      <c r="C19" s="3553"/>
      <c r="D19" s="3553"/>
    </row>
    <row r="20" spans="1:4" ht="57.75" customHeight="1">
      <c r="A20" s="35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3"/>
      <c r="C20" s="3553"/>
      <c r="D20" s="3553"/>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7"/>
      <c r="C21" s="3557"/>
      <c r="D21" s="3557"/>
    </row>
    <row r="22" spans="1:4" ht="18.75" customHeight="1">
      <c r="A22" s="3558" t="s">
        <v>945</v>
      </c>
      <c r="B22" s="3558"/>
      <c r="C22" s="3558"/>
      <c r="D22" s="355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5">
        <v>42551</v>
      </c>
      <c r="D31" s="35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4" t="s">
        <v>956</v>
      </c>
      <c r="B15" s="3559" t="s">
        <v>109</v>
      </c>
      <c r="C15" s="3560"/>
    </row>
    <row r="16" spans="1:7" ht="13.5">
      <c r="A16" s="3565"/>
      <c r="B16" s="3559" t="s">
        <v>42</v>
      </c>
      <c r="C16" s="3560"/>
    </row>
    <row r="17" spans="1:3" ht="13.5">
      <c r="A17" s="3565"/>
      <c r="B17" s="3562" t="s">
        <v>957</v>
      </c>
      <c r="C17" s="1531" t="s">
        <v>956</v>
      </c>
    </row>
    <row r="18" spans="1:3" ht="13.5">
      <c r="A18" s="3565"/>
      <c r="B18" s="3562"/>
      <c r="C18" s="1531" t="s">
        <v>958</v>
      </c>
    </row>
    <row r="19" spans="1:3" ht="13.5">
      <c r="A19" s="3565"/>
      <c r="B19" s="3562"/>
      <c r="C19" s="1531" t="s">
        <v>959</v>
      </c>
    </row>
    <row r="20" spans="1:3" ht="13.5">
      <c r="A20" s="3566"/>
      <c r="B20" s="3561" t="s">
        <v>960</v>
      </c>
      <c r="C20" s="3560"/>
    </row>
    <row r="21" spans="1:3" ht="13.5">
      <c r="A21" s="1532" t="s">
        <v>961</v>
      </c>
      <c r="B21" s="1533"/>
      <c r="C21" s="1534"/>
    </row>
    <row r="22" spans="1:3" ht="13.5">
      <c r="A22" s="3563" t="s">
        <v>962</v>
      </c>
      <c r="B22" s="3561" t="s">
        <v>963</v>
      </c>
      <c r="C22" s="3560"/>
    </row>
    <row r="23" spans="1:3" ht="13.5">
      <c r="A23" s="3563"/>
      <c r="B23" s="3561" t="s">
        <v>964</v>
      </c>
      <c r="C23" s="3560"/>
    </row>
    <row r="24" spans="1:3" ht="13.5">
      <c r="A24" s="3563"/>
      <c r="B24" s="3561" t="s">
        <v>965</v>
      </c>
      <c r="C24" s="3560"/>
    </row>
    <row r="25" spans="1:3" ht="13.5">
      <c r="A25" s="3563"/>
      <c r="B25" s="3562" t="s">
        <v>966</v>
      </c>
      <c r="C25" s="1531" t="s">
        <v>967</v>
      </c>
    </row>
    <row r="26" spans="1:3" ht="13.5">
      <c r="A26" s="3563"/>
      <c r="B26" s="3562"/>
      <c r="C26" s="1531" t="s">
        <v>968</v>
      </c>
    </row>
    <row r="27" spans="1:3" ht="13.5">
      <c r="A27" s="3563"/>
      <c r="B27" s="3562"/>
      <c r="C27" s="1531" t="s">
        <v>969</v>
      </c>
    </row>
    <row r="28" spans="1:3" ht="13.5">
      <c r="A28" s="3563"/>
      <c r="B28" s="3562"/>
      <c r="C28" s="1531" t="s">
        <v>970</v>
      </c>
    </row>
    <row r="29" spans="1:3" ht="13.5">
      <c r="A29" s="3563"/>
      <c r="B29" s="3562"/>
      <c r="C29" s="1531" t="s">
        <v>971</v>
      </c>
    </row>
    <row r="30" spans="1:3" ht="13.5">
      <c r="A30" s="3563"/>
      <c r="B30" s="3562"/>
      <c r="C30" s="1531" t="s">
        <v>972</v>
      </c>
    </row>
    <row r="31" spans="1:3" ht="13.5">
      <c r="A31" s="3563"/>
      <c r="B31" s="3562"/>
      <c r="C31" s="1531" t="s">
        <v>973</v>
      </c>
    </row>
    <row r="32" spans="1:3" ht="13.5">
      <c r="A32" s="3563"/>
      <c r="B32" s="3562"/>
      <c r="C32" s="1531" t="s">
        <v>974</v>
      </c>
    </row>
    <row r="33" spans="1:3" ht="13.5">
      <c r="A33" s="3563"/>
      <c r="B33" s="356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45376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7" t="s">
        <v>2160</v>
      </c>
      <c r="B17" s="3567"/>
      <c r="C17" s="3567"/>
      <c r="D17" s="3567"/>
      <c r="E17" s="3567"/>
      <c r="F17" s="3567"/>
      <c r="G17" s="3567"/>
      <c r="H17" s="3567"/>
    </row>
    <row r="18" spans="1:8" ht="24" customHeight="1">
      <c r="A18" s="3568" t="s">
        <v>2161</v>
      </c>
      <c r="B18" s="3568"/>
      <c r="C18" s="3568"/>
      <c r="D18" s="2342"/>
      <c r="E18" s="3569" t="s">
        <v>2162</v>
      </c>
      <c r="F18" s="3568"/>
      <c r="G18" s="356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法拍</vt:lpstr>
      <vt:lpstr>挂牌</vt:lpstr>
      <vt:lpstr>市调</vt:lpstr>
      <vt:lpstr>三部案例</vt:lpstr>
      <vt:lpstr>市场分析</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2024-03-25T07:52:50Z</dcterms:modified>
</cp:coreProperties>
</file>