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富华大厦-武哥不看现场的咨询函-农商行-要净值、扣处置费用（暂按7%）\"/>
    </mc:Choice>
  </mc:AlternateContent>
  <xr:revisionPtr revIDLastSave="0" documentId="13_ncr:1_{B3B9C354-F626-4588-967E-3473EB4CA969}" xr6:coauthVersionLast="47" xr6:coauthVersionMax="47" xr10:uidLastSave="{00000000-0000-0000-0000-000000000000}"/>
  <bookViews>
    <workbookView xWindow="-110" yWindow="-110" windowWidth="25820" windowHeight="14020" tabRatio="917"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收益法 (元)" sheetId="81"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办公" sheetId="34" r:id="rId28"/>
    <sheet name="收益法" sheetId="15" r:id="rId29"/>
    <sheet name="信息" sheetId="84" r:id="rId30"/>
    <sheet name="2026年2月富华大厦租赁台账" sheetId="85"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富华大厦租金案例" sheetId="86" r:id="rId39"/>
    <sheet name="售价案例" sheetId="87" r:id="rId40"/>
    <sheet name="成本法" sheetId="68" r:id="rId41"/>
    <sheet name="基准地价修正" sheetId="43"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43"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3">成本逼近法!$A$1:$G$36</definedName>
    <definedName name="_xlnm.Print_Area" localSheetId="40">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36">假设开发法!$A$1:$K$37</definedName>
    <definedName name="_xlnm.Print_Area" localSheetId="17">结果表!$A$1:$I$127</definedName>
    <definedName name="_xlnm.Print_Area" localSheetId="42">'剩余法（现房）'!$A$1:$K$34</definedName>
    <definedName name="_xlnm.Print_Area" localSheetId="28">收益法!$A$1:$F$53,收益法!$H$3:$M$37,收益法!$A$55:$F$84,收益法!$I$55:$N$74</definedName>
    <definedName name="_xlnm.Print_Area" localSheetId="20">'收益法 (元)'!$A$1:$F$53,'收益法 (元)'!$H$3:$M$37,'收益法 (元)'!$A$55:$F$84,'收益法 (元)'!$I$55:$N$74</definedName>
    <definedName name="_xlnm.Print_Area" localSheetId="21">'收益法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U23" i="1"/>
  <c r="X23" i="1" s="1"/>
  <c r="X24" i="1" s="1"/>
  <c r="Z24" i="1" s="1"/>
  <c r="W25" i="1"/>
  <c r="W24" i="1"/>
  <c r="X22" i="1"/>
  <c r="X21" i="1"/>
  <c r="W23" i="1"/>
  <c r="W22" i="1"/>
  <c r="W21" i="1"/>
  <c r="U22" i="1"/>
  <c r="U19" i="1"/>
  <c r="L40" i="85" l="1"/>
  <c r="F40" i="85"/>
  <c r="E40" i="85"/>
  <c r="L5" i="85"/>
  <c r="L6" i="85"/>
  <c r="L7" i="85"/>
  <c r="L8" i="85"/>
  <c r="L9" i="85"/>
  <c r="L10" i="85"/>
  <c r="L11" i="85"/>
  <c r="L12" i="85"/>
  <c r="L13" i="85"/>
  <c r="L14" i="85"/>
  <c r="L15" i="85"/>
  <c r="L16" i="85"/>
  <c r="L17" i="85"/>
  <c r="L18" i="85"/>
  <c r="L19" i="85"/>
  <c r="L20" i="85"/>
  <c r="L21" i="85"/>
  <c r="L22" i="85"/>
  <c r="L23" i="85"/>
  <c r="L24" i="85"/>
  <c r="L25" i="85"/>
  <c r="L26" i="85"/>
  <c r="L27" i="85"/>
  <c r="L28" i="85"/>
  <c r="L29" i="85"/>
  <c r="L30" i="85"/>
  <c r="L31" i="85"/>
  <c r="L32" i="85"/>
  <c r="L33" i="85"/>
  <c r="L34" i="85"/>
  <c r="L35" i="85"/>
  <c r="L36" i="85"/>
  <c r="L37" i="85"/>
  <c r="L38" i="85"/>
  <c r="L39" i="85"/>
  <c r="L4" i="85"/>
  <c r="I37" i="34"/>
  <c r="G37" i="34"/>
  <c r="E37" i="34"/>
  <c r="E67" i="34"/>
  <c r="D67" i="34" s="1"/>
  <c r="C67" i="34" s="1"/>
  <c r="F67" i="34"/>
  <c r="C37" i="34"/>
  <c r="C47" i="34"/>
  <c r="D128" i="34"/>
  <c r="E128" i="34" s="1"/>
  <c r="F128" i="34" s="1"/>
  <c r="G128" i="34" s="1"/>
  <c r="D105" i="34"/>
  <c r="E105" i="34" s="1"/>
  <c r="F105" i="34" s="1"/>
  <c r="G105" i="34" s="1"/>
  <c r="C34" i="34"/>
  <c r="J58" i="15"/>
  <c r="D42" i="43"/>
  <c r="D40" i="43"/>
  <c r="D33" i="43"/>
  <c r="B56" i="1"/>
  <c r="K33" i="1"/>
  <c r="K36" i="1"/>
  <c r="J36" i="1"/>
  <c r="J33" i="1"/>
  <c r="Y6" i="1"/>
  <c r="B21" i="1"/>
  <c r="N6" i="1"/>
  <c r="N21" i="1"/>
  <c r="N19" i="1"/>
  <c r="K20" i="1"/>
  <c r="G19" i="6"/>
  <c r="F19" i="6"/>
  <c r="M13" i="3"/>
  <c r="K13" i="3"/>
  <c r="I13" i="3"/>
  <c r="C19" i="84" l="1"/>
  <c r="D16" i="84"/>
  <c r="C17" i="84"/>
  <c r="C16" i="84"/>
  <c r="C15" i="8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6" i="79"/>
  <c r="AD43" i="79"/>
  <c r="AD42" i="79"/>
  <c r="AD44" i="79"/>
  <c r="AD45" i="79"/>
  <c r="Z3" i="79"/>
  <c r="S37" i="79"/>
  <c r="AG37" i="79" s="1"/>
  <c r="S40" i="79"/>
  <c r="AG40" i="79" s="1"/>
  <c r="S42" i="79"/>
  <c r="AG42" i="79" s="1"/>
  <c r="S39" i="79"/>
  <c r="AG39" i="79" s="1"/>
  <c r="S38" i="79"/>
  <c r="AG38" i="79" s="1"/>
  <c r="S43" i="79"/>
  <c r="AG43" i="79" s="1"/>
  <c r="S41" i="79"/>
  <c r="AG41" i="79" s="1"/>
  <c r="AA35" i="79"/>
  <c r="AD35" i="79" s="1"/>
  <c r="T48" i="79"/>
  <c r="U54" i="79"/>
  <c r="AI54" i="79" s="1"/>
  <c r="AD55" i="79"/>
  <c r="S56" i="79"/>
  <c r="AG56" i="79" s="1"/>
  <c r="U58" i="79"/>
  <c r="AI58" i="79" s="1"/>
  <c r="AD59" i="79"/>
  <c r="T40" i="79"/>
  <c r="T43" i="79"/>
  <c r="T42" i="79"/>
  <c r="T39" i="79"/>
  <c r="T41" i="79"/>
  <c r="T37" i="79"/>
  <c r="T38" i="79"/>
  <c r="N35" i="79"/>
  <c r="U42" i="79"/>
  <c r="AI42" i="79" s="1"/>
  <c r="U39" i="79"/>
  <c r="AI39" i="79" s="1"/>
  <c r="U41" i="79"/>
  <c r="AI41" i="79" s="1"/>
  <c r="U38" i="79"/>
  <c r="AI38" i="79" s="1"/>
  <c r="U37" i="79"/>
  <c r="AI37"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2" i="79"/>
  <c r="AK42" i="79" s="1"/>
  <c r="AH42" i="79"/>
  <c r="AH37" i="79"/>
  <c r="W37" i="79"/>
  <c r="AK37" i="79" s="1"/>
  <c r="W43" i="79"/>
  <c r="AK43" i="79" s="1"/>
  <c r="AH43" i="79"/>
  <c r="W41" i="79"/>
  <c r="AK41" i="79" s="1"/>
  <c r="AH41" i="79"/>
  <c r="AH40" i="79"/>
  <c r="W40" i="79"/>
  <c r="AK40" i="79" s="1"/>
  <c r="W50" i="79"/>
  <c r="AK50"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4" i="71"/>
  <c r="X35" i="71"/>
  <c r="C38" i="71"/>
  <c r="D38" i="71" s="1"/>
  <c r="Y37" i="71"/>
  <c r="Z37" i="71" s="1"/>
  <c r="F51" i="71"/>
  <c r="F52" i="71" s="1"/>
  <c r="V52" i="71" s="1"/>
  <c r="C28" i="71"/>
  <c r="T28" i="71" s="1"/>
  <c r="Y27" i="71"/>
  <c r="Z27" i="71" s="1"/>
  <c r="Y28" i="71"/>
  <c r="Z28" i="71" s="1"/>
  <c r="X25" i="71"/>
  <c r="D30" i="7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E79" i="71"/>
  <c r="E78" i="71"/>
  <c r="D80" i="71"/>
  <c r="C83" i="71"/>
  <c r="C27" i="71"/>
  <c r="C26" i="71" s="1"/>
  <c r="D26" i="71" s="1"/>
  <c r="F28" i="71"/>
  <c r="F27" i="71"/>
  <c r="F26" i="71"/>
  <c r="AB26" i="71"/>
  <c r="AA3" i="71"/>
  <c r="C66" i="71"/>
  <c r="O65" i="71" s="1"/>
  <c r="O67" i="71"/>
  <c r="D83" i="71"/>
  <c r="C82" i="71"/>
  <c r="D82" i="71" s="1"/>
  <c r="C74" i="71"/>
  <c r="D74" i="71" s="1"/>
  <c r="N65" i="71"/>
  <c r="N66" i="71"/>
  <c r="D79" i="71"/>
  <c r="C78" i="71"/>
  <c r="D78" i="71" s="1"/>
  <c r="C60" i="71"/>
  <c r="T60" i="71" s="1"/>
  <c r="P67"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B88" i="43"/>
  <c r="C22" i="20"/>
  <c r="B100" i="43" s="1"/>
  <c r="B57" i="43"/>
  <c r="B68" i="43"/>
  <c r="C31" i="39"/>
  <c r="H27" i="40"/>
  <c r="AB27" i="40" s="1"/>
  <c r="J27" i="40"/>
  <c r="H31" i="39"/>
  <c r="AB31" i="39" s="1"/>
  <c r="J31" i="39"/>
  <c r="AC31" i="39" s="1"/>
  <c r="J18" i="36"/>
  <c r="AC18" i="36" s="1"/>
  <c r="F68" i="35"/>
  <c r="H18" i="35"/>
  <c r="AB18" i="35" s="1"/>
  <c r="G68" i="35"/>
  <c r="J18" i="35"/>
  <c r="AC18" i="35" s="1"/>
  <c r="H21" i="37"/>
  <c r="F21" i="37"/>
  <c r="AA21" i="37" s="1"/>
  <c r="H21" i="34"/>
  <c r="AB21" i="34" s="1"/>
  <c r="H21" i="33"/>
  <c r="U21" i="33" s="1"/>
  <c r="F21" i="33"/>
  <c r="E83" i="21"/>
  <c r="F83" i="21" s="1"/>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G44" i="43" s="1"/>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B5" i="3" s="1"/>
  <c r="BC496" i="3"/>
  <c r="BD496" i="3"/>
  <c r="BE496" i="3"/>
  <c r="BF496" i="3"/>
  <c r="BF5" i="3" s="1"/>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G5" i="3" s="1"/>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A568" i="3" s="1"/>
  <c r="BF568" i="3"/>
  <c r="BG568" i="3"/>
  <c r="BH568" i="3"/>
  <c r="BI568" i="3"/>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A570" i="3" s="1"/>
  <c r="AZ570" i="3" s="1"/>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A574" i="3" s="1"/>
  <c r="AZ574" i="3" s="1"/>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9" i="12"/>
  <c r="I9" i="12"/>
  <c r="J9" i="12"/>
  <c r="K9" i="12"/>
  <c r="B111" i="39"/>
  <c r="J37" i="39" s="1"/>
  <c r="AC37" i="39" s="1"/>
  <c r="B113" i="39"/>
  <c r="H38" i="39" s="1"/>
  <c r="AB38" i="39" s="1"/>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U34" i="37" s="1"/>
  <c r="D101" i="37"/>
  <c r="E101" i="37" s="1"/>
  <c r="F34" i="37"/>
  <c r="S34" i="37" s="1"/>
  <c r="D99" i="37"/>
  <c r="E99" i="37" s="1"/>
  <c r="F99" i="37"/>
  <c r="G99" i="37" s="1"/>
  <c r="H99" i="37" s="1"/>
  <c r="I99" i="37" s="1"/>
  <c r="J99" i="37" s="1"/>
  <c r="K99" i="37" s="1"/>
  <c r="L99" i="37" s="1"/>
  <c r="M99" i="37" s="1"/>
  <c r="H42" i="34"/>
  <c r="J42" i="34"/>
  <c r="F42" i="34"/>
  <c r="J38" i="34"/>
  <c r="W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S40" i="40" s="1"/>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F113" i="40" s="1"/>
  <c r="G113" i="40" s="1"/>
  <c r="H113" i="40" s="1"/>
  <c r="I113" i="40" s="1"/>
  <c r="J113" i="40" s="1"/>
  <c r="K113" i="40" s="1"/>
  <c r="L113" i="40" s="1"/>
  <c r="M113" i="40" s="1"/>
  <c r="M109" i="40"/>
  <c r="L109" i="40"/>
  <c r="K109" i="40"/>
  <c r="J109" i="40"/>
  <c r="H109" i="40"/>
  <c r="G109" i="40"/>
  <c r="F109" i="40"/>
  <c r="E109" i="40"/>
  <c r="D109" i="40"/>
  <c r="C109" i="40"/>
  <c r="B107" i="40"/>
  <c r="J35" i="40" s="1"/>
  <c r="W35" i="40" s="1"/>
  <c r="B105" i="40"/>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F90" i="40" s="1"/>
  <c r="G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D94" i="39"/>
  <c r="E94" i="39" s="1"/>
  <c r="F94" i="39" s="1"/>
  <c r="G94" i="39" s="1"/>
  <c r="D92" i="39"/>
  <c r="E92" i="39"/>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E71" i="37" s="1"/>
  <c r="F71" i="37" s="1"/>
  <c r="G71" i="37" s="1"/>
  <c r="H15" i="37"/>
  <c r="AB15" i="37" s="1"/>
  <c r="B68" i="37"/>
  <c r="J14" i="37" s="1"/>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J33" i="36" s="1"/>
  <c r="AC33" i="36" s="1"/>
  <c r="H33" i="36"/>
  <c r="U33" i="36" s="1"/>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F27" i="35"/>
  <c r="J22" i="35"/>
  <c r="AC22" i="35" s="1"/>
  <c r="B101" i="35"/>
  <c r="H36" i="35"/>
  <c r="AB36" i="35" s="1"/>
  <c r="B99" i="35"/>
  <c r="H35" i="35" s="1"/>
  <c r="B97" i="35"/>
  <c r="B77" i="35"/>
  <c r="B75" i="35"/>
  <c r="B73" i="35"/>
  <c r="B57" i="35"/>
  <c r="F11" i="35" s="1"/>
  <c r="S11" i="35" s="1"/>
  <c r="B61" i="35"/>
  <c r="B59" i="35"/>
  <c r="B131" i="34"/>
  <c r="B129" i="34"/>
  <c r="J46" i="34" s="1"/>
  <c r="B127" i="34"/>
  <c r="F45" i="34" s="1"/>
  <c r="B99" i="34"/>
  <c r="B97" i="34"/>
  <c r="B95" i="34"/>
  <c r="J30" i="34" s="1"/>
  <c r="B93" i="34"/>
  <c r="H29" i="34" s="1"/>
  <c r="B75" i="34"/>
  <c r="B73" i="34"/>
  <c r="B71" i="34"/>
  <c r="B130" i="33"/>
  <c r="F46" i="33" s="1"/>
  <c r="B128" i="33"/>
  <c r="B126" i="33"/>
  <c r="B98" i="33"/>
  <c r="F31" i="33" s="1"/>
  <c r="B96" i="33"/>
  <c r="H30" i="33" s="1"/>
  <c r="B94" i="33"/>
  <c r="B74" i="33"/>
  <c r="B72" i="33"/>
  <c r="F13" i="33" s="1"/>
  <c r="S13" i="33" s="1"/>
  <c r="B70" i="33"/>
  <c r="F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H9" i="35" s="1"/>
  <c r="U9" i="35" s="1"/>
  <c r="J9" i="35"/>
  <c r="W9" i="35" s="1"/>
  <c r="P39" i="35"/>
  <c r="P38" i="35"/>
  <c r="V37" i="35"/>
  <c r="T37" i="35"/>
  <c r="R37" i="35"/>
  <c r="P37" i="35"/>
  <c r="Q36" i="35"/>
  <c r="Z36" i="35"/>
  <c r="J36" i="35"/>
  <c r="AC36" i="35" s="1"/>
  <c r="Q35" i="35"/>
  <c r="Z35" i="35"/>
  <c r="Q34" i="35"/>
  <c r="Z34" i="35" s="1"/>
  <c r="H34" i="35"/>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J8" i="34"/>
  <c r="H8" i="34"/>
  <c r="U8" i="34" s="1"/>
  <c r="F8" i="34"/>
  <c r="AA8" i="34" s="1"/>
  <c r="D121" i="33"/>
  <c r="E121" i="33"/>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S42" i="21" s="1"/>
  <c r="AA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E85" i="21" s="1"/>
  <c r="F85" i="21" s="1"/>
  <c r="G85" i="21" s="1"/>
  <c r="F19" i="21"/>
  <c r="AA19" i="21"/>
  <c r="E81" i="21"/>
  <c r="F81" i="21"/>
  <c r="G81" i="21" s="1"/>
  <c r="D77" i="21"/>
  <c r="E77" i="21" s="1"/>
  <c r="F77" i="21" s="1"/>
  <c r="B130" i="21"/>
  <c r="J46" i="21" s="1"/>
  <c r="B128" i="21"/>
  <c r="J45" i="21" s="1"/>
  <c r="W45" i="21" s="1"/>
  <c r="B126" i="21"/>
  <c r="F44" i="21" s="1"/>
  <c r="AA44" i="21" s="1"/>
  <c r="B98" i="21"/>
  <c r="B96" i="21"/>
  <c r="B94" i="21"/>
  <c r="H29" i="21" s="1"/>
  <c r="U29" i="21" s="1"/>
  <c r="J29" i="21"/>
  <c r="AC29" i="21" s="1"/>
  <c r="B92" i="21"/>
  <c r="B90" i="21"/>
  <c r="F27" i="21" s="1"/>
  <c r="AA27" i="21" s="1"/>
  <c r="J27" i="21"/>
  <c r="W27" i="21" s="1"/>
  <c r="B74" i="21"/>
  <c r="B72" i="21"/>
  <c r="J13" i="21" s="1"/>
  <c r="AC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J46" i="39"/>
  <c r="AC46" i="39" s="1"/>
  <c r="F38" i="39"/>
  <c r="S38" i="39" s="1"/>
  <c r="U30" i="37"/>
  <c r="E103" i="37"/>
  <c r="F103" i="37" s="1"/>
  <c r="G103" i="37" s="1"/>
  <c r="H103" i="37" s="1"/>
  <c r="I103" i="37" s="1"/>
  <c r="J103" i="37" s="1"/>
  <c r="K103" i="37" s="1"/>
  <c r="L103" i="37" s="1"/>
  <c r="M103" i="37" s="1"/>
  <c r="F39" i="37"/>
  <c r="S39" i="37" s="1"/>
  <c r="F29" i="36"/>
  <c r="AA29" i="36" s="1"/>
  <c r="F16" i="36"/>
  <c r="AA16" i="36" s="1"/>
  <c r="W28" i="36"/>
  <c r="U31" i="36"/>
  <c r="H22" i="35"/>
  <c r="AB22" i="35" s="1"/>
  <c r="W22" i="35"/>
  <c r="F36" i="34"/>
  <c r="AA36" i="34" s="1"/>
  <c r="J35" i="34"/>
  <c r="AC35" i="34" s="1"/>
  <c r="H39" i="33"/>
  <c r="AB39" i="33" s="1"/>
  <c r="F26" i="33"/>
  <c r="AA26" i="33" s="1"/>
  <c r="U35" i="33"/>
  <c r="W39" i="33"/>
  <c r="H39" i="37"/>
  <c r="AB39" i="37" s="1"/>
  <c r="F13" i="40"/>
  <c r="AA13" i="40" s="1"/>
  <c r="H13" i="40"/>
  <c r="AB13" i="40" s="1"/>
  <c r="W10" i="40"/>
  <c r="AA11" i="40"/>
  <c r="S36" i="40"/>
  <c r="W33" i="40"/>
  <c r="U36" i="40"/>
  <c r="F44" i="39"/>
  <c r="AA44" i="39" s="1"/>
  <c r="F43" i="39"/>
  <c r="S43" i="39" s="1"/>
  <c r="H42" i="39"/>
  <c r="AB42" i="39" s="1"/>
  <c r="H41" i="39"/>
  <c r="U41" i="39" s="1"/>
  <c r="H36" i="39"/>
  <c r="E110" i="39"/>
  <c r="F110" i="39" s="1"/>
  <c r="G110" i="39" s="1"/>
  <c r="H110" i="39" s="1"/>
  <c r="I110" i="39" s="1"/>
  <c r="J110" i="39" s="1"/>
  <c r="K110" i="39" s="1"/>
  <c r="L110" i="39" s="1"/>
  <c r="M110" i="39" s="1"/>
  <c r="H21" i="39"/>
  <c r="AB21" i="39" s="1"/>
  <c r="F21" i="39"/>
  <c r="H19" i="39"/>
  <c r="AB19" i="39" s="1"/>
  <c r="F19" i="39"/>
  <c r="AA19" i="39" s="1"/>
  <c r="J25" i="40"/>
  <c r="AC25" i="40" s="1"/>
  <c r="F23" i="40"/>
  <c r="J23" i="40"/>
  <c r="W23" i="40" s="1"/>
  <c r="H44" i="39"/>
  <c r="AB44" i="39" s="1"/>
  <c r="J36" i="39"/>
  <c r="AC36" i="39" s="1"/>
  <c r="H29" i="39"/>
  <c r="U29" i="39" s="1"/>
  <c r="J21" i="39"/>
  <c r="AC21" i="39" s="1"/>
  <c r="J19" i="39"/>
  <c r="F29" i="39"/>
  <c r="S29" i="39" s="1"/>
  <c r="F11" i="21"/>
  <c r="S11" i="21" s="1"/>
  <c r="C27" i="39"/>
  <c r="H13" i="39"/>
  <c r="AB13" i="39" s="1"/>
  <c r="C17" i="39"/>
  <c r="H32" i="33"/>
  <c r="AB32" i="33"/>
  <c r="H11" i="21"/>
  <c r="U11" i="21" s="1"/>
  <c r="J11" i="21"/>
  <c r="W11" i="21" s="1"/>
  <c r="H39" i="40"/>
  <c r="U39" i="40" s="1"/>
  <c r="H38" i="40"/>
  <c r="AB38" i="40" s="1"/>
  <c r="F37" i="40"/>
  <c r="S37" i="40" s="1"/>
  <c r="H25" i="40"/>
  <c r="AB25" i="40" s="1"/>
  <c r="H19" i="40"/>
  <c r="U19" i="40" s="1"/>
  <c r="J17" i="40"/>
  <c r="W17" i="40" s="1"/>
  <c r="J13" i="40"/>
  <c r="AB10" i="39"/>
  <c r="F39" i="39"/>
  <c r="AA39"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F14" i="35"/>
  <c r="AA14" i="35"/>
  <c r="F23" i="35"/>
  <c r="J32" i="35"/>
  <c r="AC32" i="35" s="1"/>
  <c r="J16" i="35"/>
  <c r="AC16" i="35"/>
  <c r="H16" i="35"/>
  <c r="AB16" i="35" s="1"/>
  <c r="F16" i="35"/>
  <c r="S16" i="35"/>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H36" i="34"/>
  <c r="U36" i="34" s="1"/>
  <c r="F25" i="34"/>
  <c r="S25" i="34" s="1"/>
  <c r="H23" i="34"/>
  <c r="U23" i="34" s="1"/>
  <c r="J23" i="34"/>
  <c r="W23" i="34" s="1"/>
  <c r="F19" i="34"/>
  <c r="AA19" i="34" s="1"/>
  <c r="H17" i="34"/>
  <c r="F15" i="34"/>
  <c r="AA15" i="34" s="1"/>
  <c r="F41" i="33"/>
  <c r="S41" i="33" s="1"/>
  <c r="AA41" i="33"/>
  <c r="S38" i="33"/>
  <c r="E113" i="33"/>
  <c r="F113" i="33" s="1"/>
  <c r="F32" i="33"/>
  <c r="S32" i="33" s="1"/>
  <c r="AA32" i="33"/>
  <c r="J19" i="33"/>
  <c r="AC19" i="33"/>
  <c r="J15" i="33"/>
  <c r="AC15" i="33"/>
  <c r="F11" i="33"/>
  <c r="AA11" i="33" s="1"/>
  <c r="S26" i="33"/>
  <c r="U40" i="33"/>
  <c r="W40" i="33"/>
  <c r="F39" i="40"/>
  <c r="AA39" i="40" s="1"/>
  <c r="F38" i="40"/>
  <c r="AA38" i="40" s="1"/>
  <c r="H30" i="40"/>
  <c r="U30" i="40" s="1"/>
  <c r="F25" i="40"/>
  <c r="F19" i="40"/>
  <c r="AA19" i="40" s="1"/>
  <c r="J19" i="40"/>
  <c r="W19" i="40"/>
  <c r="F17" i="40"/>
  <c r="H17" i="40"/>
  <c r="AB17" i="40" s="1"/>
  <c r="S12" i="36"/>
  <c r="AA12" i="36"/>
  <c r="F29" i="35"/>
  <c r="S29" i="35" s="1"/>
  <c r="H29" i="35"/>
  <c r="AB29" i="35" s="1"/>
  <c r="H33" i="37"/>
  <c r="F33" i="37"/>
  <c r="AA33" i="37" s="1"/>
  <c r="AA34" i="37"/>
  <c r="J43" i="34"/>
  <c r="AC43" i="34" s="1"/>
  <c r="J40" i="34"/>
  <c r="W40" i="34" s="1"/>
  <c r="H38" i="34"/>
  <c r="AB38" i="34" s="1"/>
  <c r="J36" i="34"/>
  <c r="AC36" i="34" s="1"/>
  <c r="H37" i="34"/>
  <c r="U37" i="34" s="1"/>
  <c r="H25" i="34"/>
  <c r="AB25" i="34" s="1"/>
  <c r="J25" i="34"/>
  <c r="AC25" i="34" s="1"/>
  <c r="F23" i="34"/>
  <c r="AA23" i="34" s="1"/>
  <c r="J19" i="34"/>
  <c r="AC19" i="34" s="1"/>
  <c r="G113" i="33"/>
  <c r="H113" i="33" s="1"/>
  <c r="I113" i="33" s="1"/>
  <c r="J113" i="33" s="1"/>
  <c r="K113" i="33" s="1"/>
  <c r="L113" i="33" s="1"/>
  <c r="M113" i="33" s="1"/>
  <c r="H37" i="33"/>
  <c r="AB37" i="33"/>
  <c r="H15" i="33"/>
  <c r="AB15" i="33" s="1"/>
  <c r="H11" i="33"/>
  <c r="AB11" i="33" s="1"/>
  <c r="F30" i="40"/>
  <c r="AA30" i="40"/>
  <c r="AA29" i="35"/>
  <c r="AA42" i="34"/>
  <c r="S42" i="34"/>
  <c r="J11" i="33"/>
  <c r="W11" i="33" s="1"/>
  <c r="I123" i="2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c r="H46" i="21"/>
  <c r="U46" i="21"/>
  <c r="F46" i="21"/>
  <c r="AA46" i="21" s="1"/>
  <c r="E119" i="21"/>
  <c r="F119" i="21" s="1"/>
  <c r="G119" i="21" s="1"/>
  <c r="H119" i="21" s="1"/>
  <c r="I119" i="21" s="1"/>
  <c r="J119" i="21" s="1"/>
  <c r="K119" i="21" s="1"/>
  <c r="L119" i="21" s="1"/>
  <c r="M119" i="21" s="1"/>
  <c r="H26" i="33"/>
  <c r="U26" i="33"/>
  <c r="H28" i="33"/>
  <c r="U28" i="33"/>
  <c r="AA28" i="33"/>
  <c r="J28" i="33"/>
  <c r="W28" i="33" s="1"/>
  <c r="F33" i="35"/>
  <c r="S33" i="35"/>
  <c r="J33" i="35"/>
  <c r="AC33" i="35" s="1"/>
  <c r="F30" i="35"/>
  <c r="S30" i="35" s="1"/>
  <c r="F89" i="35"/>
  <c r="G89" i="35"/>
  <c r="H89" i="35"/>
  <c r="I89" i="35" s="1"/>
  <c r="J89" i="35" s="1"/>
  <c r="K89" i="35" s="1"/>
  <c r="L89" i="35" s="1"/>
  <c r="M89" i="35" s="1"/>
  <c r="H10" i="36"/>
  <c r="AB10" i="36" s="1"/>
  <c r="J14" i="36"/>
  <c r="W14" i="36" s="1"/>
  <c r="AC14" i="36"/>
  <c r="H14" i="36"/>
  <c r="U14" i="36" s="1"/>
  <c r="F28" i="36"/>
  <c r="AA28" i="36" s="1"/>
  <c r="H27" i="21"/>
  <c r="AB27" i="21" s="1"/>
  <c r="J31" i="21"/>
  <c r="AC31" i="21" s="1"/>
  <c r="F27" i="33"/>
  <c r="AA27" i="33" s="1"/>
  <c r="J13" i="33"/>
  <c r="H13" i="33"/>
  <c r="U13" i="33" s="1"/>
  <c r="H29" i="33"/>
  <c r="U29" i="33" s="1"/>
  <c r="H31" i="33"/>
  <c r="H45" i="33"/>
  <c r="J14" i="34"/>
  <c r="W14" i="34" s="1"/>
  <c r="H30" i="34"/>
  <c r="F30" i="34"/>
  <c r="S30" i="34" s="1"/>
  <c r="F32" i="34"/>
  <c r="S32" i="34" s="1"/>
  <c r="H46" i="34"/>
  <c r="U46" i="34" s="1"/>
  <c r="F46" i="34"/>
  <c r="H11" i="35"/>
  <c r="AB11" i="35" s="1"/>
  <c r="J11" i="35"/>
  <c r="J26" i="36"/>
  <c r="W26" i="36"/>
  <c r="H28" i="36"/>
  <c r="U28" i="36" s="1"/>
  <c r="H11" i="36"/>
  <c r="U11" i="36" s="1"/>
  <c r="H13" i="36"/>
  <c r="E89" i="37"/>
  <c r="F89" i="37" s="1"/>
  <c r="G89" i="37" s="1"/>
  <c r="H89" i="37" s="1"/>
  <c r="I89" i="37" s="1"/>
  <c r="J89" i="37" s="1"/>
  <c r="K89" i="37" s="1"/>
  <c r="L89" i="37" s="1"/>
  <c r="M89" i="37" s="1"/>
  <c r="J29" i="37"/>
  <c r="W29" i="37" s="1"/>
  <c r="F29" i="37"/>
  <c r="S29" i="37" s="1"/>
  <c r="H36" i="37"/>
  <c r="AB36" i="37"/>
  <c r="F107" i="37"/>
  <c r="G107" i="37" s="1"/>
  <c r="J37" i="37"/>
  <c r="AC37" i="37" s="1"/>
  <c r="H37" i="37"/>
  <c r="U37" i="37"/>
  <c r="H40" i="37"/>
  <c r="U40" i="37" s="1"/>
  <c r="AC40" i="37"/>
  <c r="H14" i="33"/>
  <c r="F14" i="33"/>
  <c r="J14" i="33"/>
  <c r="H44" i="33"/>
  <c r="J44" i="33"/>
  <c r="AC44" i="33" s="1"/>
  <c r="F44" i="33"/>
  <c r="S44" i="33" s="1"/>
  <c r="H13" i="34"/>
  <c r="U13" i="34" s="1"/>
  <c r="J13" i="34"/>
  <c r="F13" i="34"/>
  <c r="AA13" i="34" s="1"/>
  <c r="J31" i="34"/>
  <c r="H31" i="34"/>
  <c r="F31" i="34"/>
  <c r="S31" i="34" s="1"/>
  <c r="H47" i="34"/>
  <c r="U47" i="34" s="1"/>
  <c r="F47" i="34"/>
  <c r="S47" i="34" s="1"/>
  <c r="J47" i="34"/>
  <c r="AC47" i="34" s="1"/>
  <c r="J13" i="35"/>
  <c r="AC13" i="35" s="1"/>
  <c r="J25" i="35"/>
  <c r="W25" i="35"/>
  <c r="F25" i="35"/>
  <c r="S25" i="35" s="1"/>
  <c r="H25" i="35"/>
  <c r="AB25" i="35" s="1"/>
  <c r="J35" i="35"/>
  <c r="AC35" i="35" s="1"/>
  <c r="F35" i="35"/>
  <c r="AA35" i="35" s="1"/>
  <c r="J25" i="36"/>
  <c r="W25" i="36"/>
  <c r="H13" i="37"/>
  <c r="J13" i="37"/>
  <c r="W13" i="37" s="1"/>
  <c r="F28" i="37"/>
  <c r="AA28" i="37" s="1"/>
  <c r="J28" i="37"/>
  <c r="AC28" i="37"/>
  <c r="H28" i="37"/>
  <c r="H38" i="37"/>
  <c r="AB38" i="37" s="1"/>
  <c r="J38" i="37"/>
  <c r="AC38" i="37" s="1"/>
  <c r="F38" i="37"/>
  <c r="S38" i="37" s="1"/>
  <c r="F45" i="39"/>
  <c r="AA45" i="39" s="1"/>
  <c r="H45" i="39"/>
  <c r="J16" i="39"/>
  <c r="AC16" i="39" s="1"/>
  <c r="F16" i="39"/>
  <c r="AA16" i="39" s="1"/>
  <c r="H16" i="39"/>
  <c r="AB16" i="39" s="1"/>
  <c r="F14" i="40"/>
  <c r="S14" i="40"/>
  <c r="H14" i="40"/>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AB15" i="39" s="1"/>
  <c r="J27" i="37"/>
  <c r="AC27" i="37"/>
  <c r="AA44" i="33"/>
  <c r="J36" i="37"/>
  <c r="AC36" i="37"/>
  <c r="J10" i="36"/>
  <c r="AC10" i="36" s="1"/>
  <c r="AB26" i="33"/>
  <c r="AB30" i="21"/>
  <c r="AA14" i="37"/>
  <c r="AB46" i="34"/>
  <c r="AC28" i="21"/>
  <c r="F17" i="21"/>
  <c r="AA17" i="21" s="1"/>
  <c r="H17" i="21"/>
  <c r="AB17" i="21" s="1"/>
  <c r="F15" i="21"/>
  <c r="S15" i="21" s="1"/>
  <c r="J43" i="39"/>
  <c r="W43" i="39" s="1"/>
  <c r="W46" i="39"/>
  <c r="U38" i="39"/>
  <c r="G540" i="3"/>
  <c r="G536" i="3"/>
  <c r="G535" i="3"/>
  <c r="G532" i="3"/>
  <c r="G528" i="3"/>
  <c r="G527" i="3"/>
  <c r="G518" i="3"/>
  <c r="G510" i="3"/>
  <c r="G504" i="3"/>
  <c r="G496" i="3"/>
  <c r="G580" i="3"/>
  <c r="G572" i="3"/>
  <c r="G560" i="3"/>
  <c r="G554" i="3"/>
  <c r="G550" i="3"/>
  <c r="BL580" i="3"/>
  <c r="BL554" i="3"/>
  <c r="BL546" i="3"/>
  <c r="BL512" i="3"/>
  <c r="BL570" i="3"/>
  <c r="BL552" i="3"/>
  <c r="G533" i="3"/>
  <c r="G525" i="3"/>
  <c r="BL510" i="3"/>
  <c r="BA578" i="3"/>
  <c r="BA562" i="3"/>
  <c r="BA560" i="3"/>
  <c r="BA554" i="3"/>
  <c r="AZ554" i="3"/>
  <c r="BA552" i="3"/>
  <c r="AZ552" i="3" s="1"/>
  <c r="BA544" i="3"/>
  <c r="AZ544" i="3" s="1"/>
  <c r="BA524" i="3"/>
  <c r="BA510" i="3"/>
  <c r="AZ510" i="3" s="1"/>
  <c r="BA498" i="3"/>
  <c r="BA587" i="3"/>
  <c r="BA579" i="3"/>
  <c r="BA563" i="3"/>
  <c r="AZ563" i="3" s="1"/>
  <c r="BA561" i="3"/>
  <c r="BA555" i="3"/>
  <c r="BA553" i="3"/>
  <c r="BA549" i="3"/>
  <c r="BA533" i="3"/>
  <c r="BA515" i="3"/>
  <c r="BA497" i="3"/>
  <c r="G583" i="3"/>
  <c r="G581" i="3"/>
  <c r="G577" i="3"/>
  <c r="G575" i="3"/>
  <c r="G573" i="3"/>
  <c r="G567" i="3"/>
  <c r="G563" i="3"/>
  <c r="G561" i="3"/>
  <c r="AC557" i="3"/>
  <c r="G557" i="3" s="1"/>
  <c r="BQ557" i="3"/>
  <c r="BL557" i="3" s="1"/>
  <c r="BQ583" i="3"/>
  <c r="BQ581" i="3"/>
  <c r="BQ579" i="3"/>
  <c r="BQ577" i="3"/>
  <c r="BQ575" i="3"/>
  <c r="BL575" i="3"/>
  <c r="BQ573" i="3"/>
  <c r="BQ571" i="3"/>
  <c r="BQ569" i="3"/>
  <c r="BQ567" i="3"/>
  <c r="BQ565" i="3"/>
  <c r="BQ563" i="3"/>
  <c r="BQ561" i="3"/>
  <c r="BL561" i="3"/>
  <c r="AZ561" i="3" s="1"/>
  <c r="BQ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L527" i="3" s="1"/>
  <c r="BQ525" i="3"/>
  <c r="BQ523" i="3"/>
  <c r="BA521" i="3"/>
  <c r="AC521" i="3"/>
  <c r="G521" i="3"/>
  <c r="BQ521" i="3"/>
  <c r="BL521" i="3"/>
  <c r="AZ521" i="3" s="1"/>
  <c r="G519" i="3"/>
  <c r="G513" i="3"/>
  <c r="G511" i="3"/>
  <c r="BQ519" i="3"/>
  <c r="BQ517" i="3"/>
  <c r="BQ515" i="3"/>
  <c r="BQ513" i="3"/>
  <c r="BQ511" i="3"/>
  <c r="AC509" i="3"/>
  <c r="BQ509" i="3"/>
  <c r="G507" i="3"/>
  <c r="G505" i="3"/>
  <c r="G499" i="3"/>
  <c r="G497" i="3"/>
  <c r="BQ507" i="3"/>
  <c r="BQ505" i="3"/>
  <c r="BQ503" i="3"/>
  <c r="BL503" i="3" s="1"/>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S37" i="37" s="1"/>
  <c r="F33" i="40"/>
  <c r="AA33" i="40"/>
  <c r="H33" i="40"/>
  <c r="U33" i="40" s="1"/>
  <c r="H34" i="40"/>
  <c r="U34" i="40" s="1"/>
  <c r="AB34" i="40"/>
  <c r="J38" i="40"/>
  <c r="W38" i="40"/>
  <c r="H19" i="37"/>
  <c r="AB19" i="37" s="1"/>
  <c r="F123" i="33"/>
  <c r="G123" i="33" s="1"/>
  <c r="H123" i="33" s="1"/>
  <c r="I123" i="33" s="1"/>
  <c r="J123" i="33" s="1"/>
  <c r="K123" i="33" s="1"/>
  <c r="L123" i="33" s="1"/>
  <c r="M123" i="33" s="1"/>
  <c r="H42" i="33"/>
  <c r="AB42" i="33" s="1"/>
  <c r="J43" i="33"/>
  <c r="AC43" i="33"/>
  <c r="S28" i="31"/>
  <c r="S27" i="31"/>
  <c r="S26" i="31"/>
  <c r="U39" i="37"/>
  <c r="W44" i="33"/>
  <c r="U11" i="33"/>
  <c r="U19" i="21"/>
  <c r="AB38" i="21"/>
  <c r="F43" i="33"/>
  <c r="W16" i="35"/>
  <c r="W40"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F15" i="37"/>
  <c r="AA15" i="37" s="1"/>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21" i="40"/>
  <c r="S21" i="40" s="1"/>
  <c r="AC15" i="40"/>
  <c r="AB35" i="40"/>
  <c r="W25" i="39"/>
  <c r="AC45" i="39"/>
  <c r="W45" i="39"/>
  <c r="H39" i="39"/>
  <c r="AB39" i="39" s="1"/>
  <c r="AC39" i="39"/>
  <c r="W39" i="39"/>
  <c r="H27" i="39"/>
  <c r="U27" i="39" s="1"/>
  <c r="J27" i="39"/>
  <c r="W27" i="39" s="1"/>
  <c r="F27" i="39"/>
  <c r="AA27" i="39" s="1"/>
  <c r="H43" i="39"/>
  <c r="AB43" i="39" s="1"/>
  <c r="S44" i="39"/>
  <c r="W11" i="39"/>
  <c r="W10" i="39"/>
  <c r="J21" i="40"/>
  <c r="AC21" i="40" s="1"/>
  <c r="J52" i="40"/>
  <c r="H103" i="9"/>
  <c r="D8" i="53" s="1"/>
  <c r="B16" i="53"/>
  <c r="B33" i="72" s="1"/>
  <c r="A118" i="9"/>
  <c r="A4" i="52"/>
  <c r="B41" i="72" s="1"/>
  <c r="J13" i="39"/>
  <c r="W13" i="39" s="1"/>
  <c r="F13" i="39"/>
  <c r="S13" i="39" s="1"/>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AZ155" i="3" s="1"/>
  <c r="BL156" i="3"/>
  <c r="G157" i="3"/>
  <c r="BA159" i="3"/>
  <c r="AZ159" i="3"/>
  <c r="BL160" i="3"/>
  <c r="G161" i="3"/>
  <c r="BA163" i="3"/>
  <c r="BL164" i="3"/>
  <c r="AZ164" i="3" s="1"/>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66" i="3"/>
  <c r="AZ186" i="3"/>
  <c r="BA16" i="3"/>
  <c r="AZ16" i="3" s="1"/>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AZ380" i="3" s="1"/>
  <c r="G381" i="3"/>
  <c r="BA383" i="3"/>
  <c r="AZ383" i="3" s="1"/>
  <c r="BL384" i="3"/>
  <c r="G385" i="3"/>
  <c r="BA387" i="3"/>
  <c r="BL388" i="3"/>
  <c r="AZ388" i="3" s="1"/>
  <c r="G389" i="3"/>
  <c r="BA391" i="3"/>
  <c r="AZ391" i="3" s="1"/>
  <c r="BL392" i="3"/>
  <c r="G393" i="3"/>
  <c r="BM5" i="3"/>
  <c r="AZ341" i="3"/>
  <c r="AC5" i="3"/>
  <c r="G548" i="3"/>
  <c r="G520" i="3"/>
  <c r="BE5" i="3"/>
  <c r="G17" i="3"/>
  <c r="BA17" i="3"/>
  <c r="AZ368" i="3"/>
  <c r="BA15" i="3"/>
  <c r="AZ392" i="3"/>
  <c r="U38" i="40"/>
  <c r="F83" i="43"/>
  <c r="H85" i="43" s="1"/>
  <c r="F50" i="43"/>
  <c r="H54" i="43" s="1"/>
  <c r="F72" i="43"/>
  <c r="H75" i="43" s="1"/>
  <c r="U19" i="39"/>
  <c r="S14" i="35"/>
  <c r="U43" i="21"/>
  <c r="W37" i="37"/>
  <c r="S15" i="37"/>
  <c r="AA14" i="40"/>
  <c r="J37" i="33"/>
  <c r="W37" i="33" s="1"/>
  <c r="F106" i="33"/>
  <c r="G106" i="33" s="1"/>
  <c r="H106" i="33" s="1"/>
  <c r="I106" i="33" s="1"/>
  <c r="J106" i="33" s="1"/>
  <c r="K106" i="33" s="1"/>
  <c r="L106" i="33" s="1"/>
  <c r="M106" i="33" s="1"/>
  <c r="J34" i="33"/>
  <c r="F33" i="34"/>
  <c r="S33" i="34" s="1"/>
  <c r="W12" i="36"/>
  <c r="AC12" i="36"/>
  <c r="H20" i="36"/>
  <c r="J20" i="36"/>
  <c r="W20" i="36" s="1"/>
  <c r="W24" i="36"/>
  <c r="J27" i="36"/>
  <c r="W27" i="36" s="1"/>
  <c r="AB25" i="37"/>
  <c r="AC35" i="40"/>
  <c r="H37" i="40"/>
  <c r="AB37" i="40" s="1"/>
  <c r="AC29" i="35"/>
  <c r="W29" i="35"/>
  <c r="H35" i="37"/>
  <c r="U35" i="37" s="1"/>
  <c r="AC14" i="35"/>
  <c r="H20" i="35"/>
  <c r="U20" i="35" s="1"/>
  <c r="F20" i="35"/>
  <c r="AA20" i="35"/>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48" i="3"/>
  <c r="AZ259" i="3"/>
  <c r="AZ271" i="3"/>
  <c r="AZ133" i="3"/>
  <c r="AZ50" i="3"/>
  <c r="AZ77" i="3"/>
  <c r="F25" i="39"/>
  <c r="AA25" i="39" s="1"/>
  <c r="H27" i="36"/>
  <c r="U27" i="36" s="1"/>
  <c r="F27" i="36"/>
  <c r="AA27" i="36" s="1"/>
  <c r="H33" i="34"/>
  <c r="U33" i="34" s="1"/>
  <c r="F32" i="37"/>
  <c r="AA32" i="37"/>
  <c r="F20" i="36"/>
  <c r="AA20" i="36" s="1"/>
  <c r="J33" i="34"/>
  <c r="AC33" i="34" s="1"/>
  <c r="H25" i="39"/>
  <c r="U25" i="39" s="1"/>
  <c r="K9" i="1"/>
  <c r="M9" i="1" s="1"/>
  <c r="K6" i="1"/>
  <c r="W26" i="33"/>
  <c r="W27" i="34"/>
  <c r="AC27" i="34"/>
  <c r="AB34" i="36"/>
  <c r="U34" i="36"/>
  <c r="AB33" i="36"/>
  <c r="W14" i="39"/>
  <c r="AC41" i="40"/>
  <c r="W41" i="40"/>
  <c r="AZ433" i="3"/>
  <c r="BL14" i="3"/>
  <c r="AA47" i="34"/>
  <c r="W28" i="37"/>
  <c r="H14" i="39"/>
  <c r="AB14" i="39"/>
  <c r="F41" i="40"/>
  <c r="AA41" i="40" s="1"/>
  <c r="BA14" i="3"/>
  <c r="AZ250" i="3"/>
  <c r="AZ286" i="3"/>
  <c r="B12" i="1"/>
  <c r="E12" i="1" s="1"/>
  <c r="B10" i="1"/>
  <c r="E10" i="1" s="1"/>
  <c r="AZ88" i="3"/>
  <c r="K12" i="1"/>
  <c r="M12" i="1" s="1"/>
  <c r="S13" i="1"/>
  <c r="AR13" i="1" s="1"/>
  <c r="R13" i="1"/>
  <c r="J51" i="67"/>
  <c r="AA34" i="33"/>
  <c r="AB39" i="40"/>
  <c r="AC38" i="40"/>
  <c r="W40" i="40"/>
  <c r="AC19" i="40"/>
  <c r="AC17" i="40"/>
  <c r="S32" i="40"/>
  <c r="S30" i="40"/>
  <c r="U23" i="40"/>
  <c r="S45" i="39"/>
  <c r="S39" i="39"/>
  <c r="F34" i="39"/>
  <c r="F108" i="39"/>
  <c r="G108" i="39" s="1"/>
  <c r="H108" i="39" s="1"/>
  <c r="I108" i="39" s="1"/>
  <c r="J108" i="39" s="1"/>
  <c r="K108" i="39" s="1"/>
  <c r="L108" i="39" s="1"/>
  <c r="M108" i="39" s="1"/>
  <c r="AB29" i="39"/>
  <c r="F23" i="39"/>
  <c r="AA23" i="39" s="1"/>
  <c r="H23" i="39"/>
  <c r="AB23" i="39" s="1"/>
  <c r="W21" i="39"/>
  <c r="U21" i="39"/>
  <c r="S19" i="39"/>
  <c r="U16" i="39"/>
  <c r="U14" i="39"/>
  <c r="U26" i="36"/>
  <c r="S33" i="36"/>
  <c r="AC26" i="36"/>
  <c r="AA22" i="36"/>
  <c r="U22" i="36"/>
  <c r="S16" i="36"/>
  <c r="S24" i="36"/>
  <c r="U24" i="36"/>
  <c r="AA25" i="35"/>
  <c r="U28" i="35"/>
  <c r="U36" i="35"/>
  <c r="U32" i="35"/>
  <c r="AA33" i="35"/>
  <c r="AC30" i="35"/>
  <c r="S32" i="35"/>
  <c r="AA36" i="35"/>
  <c r="S28" i="35"/>
  <c r="U22" i="35"/>
  <c r="S20" i="35"/>
  <c r="AC20" i="35"/>
  <c r="S22" i="35"/>
  <c r="AA11" i="35"/>
  <c r="AC9" i="35"/>
  <c r="AC12" i="35"/>
  <c r="F9" i="35"/>
  <c r="S9" i="35" s="1"/>
  <c r="AB40" i="37"/>
  <c r="S25" i="37"/>
  <c r="W27" i="37"/>
  <c r="U29" i="37"/>
  <c r="S32" i="37"/>
  <c r="AB31" i="37"/>
  <c r="W30" i="37"/>
  <c r="S36" i="37"/>
  <c r="AA38" i="37"/>
  <c r="U32" i="37"/>
  <c r="AC35" i="37"/>
  <c r="W39" i="37"/>
  <c r="S30" i="37"/>
  <c r="J17" i="37"/>
  <c r="W17" i="37"/>
  <c r="F17" i="37"/>
  <c r="AA17" i="37" s="1"/>
  <c r="AB17" i="37"/>
  <c r="F75" i="37"/>
  <c r="F19" i="37"/>
  <c r="S19" i="37" s="1"/>
  <c r="F79" i="37"/>
  <c r="F23" i="37"/>
  <c r="S23" i="37" s="1"/>
  <c r="U23" i="37"/>
  <c r="U15" i="37"/>
  <c r="AC13" i="37"/>
  <c r="AA13" i="37"/>
  <c r="H10" i="37"/>
  <c r="AB10" i="37" s="1"/>
  <c r="F63" i="37"/>
  <c r="F11" i="37"/>
  <c r="S11" i="37" s="1"/>
  <c r="U28" i="34"/>
  <c r="U27" i="34"/>
  <c r="S13" i="34"/>
  <c r="H10" i="34"/>
  <c r="AB10" i="34" s="1"/>
  <c r="F11" i="34"/>
  <c r="S11" i="34" s="1"/>
  <c r="F70" i="34"/>
  <c r="W42" i="33"/>
  <c r="AA35" i="33"/>
  <c r="S27"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W43" i="21"/>
  <c r="W36" i="21"/>
  <c r="W41" i="21"/>
  <c r="AB39" i="21"/>
  <c r="AA43" i="21"/>
  <c r="S39" i="21"/>
  <c r="AA38" i="21"/>
  <c r="AA36" i="21"/>
  <c r="J15" i="21"/>
  <c r="W15" i="21"/>
  <c r="G77" i="21"/>
  <c r="F23" i="21"/>
  <c r="S23" i="21" s="1"/>
  <c r="AA14" i="21"/>
  <c r="H120" i="9"/>
  <c r="H121" i="9" s="1"/>
  <c r="D7" i="52" s="1"/>
  <c r="C18" i="9"/>
  <c r="F34" i="67"/>
  <c r="F62" i="67" s="1"/>
  <c r="M20" i="67"/>
  <c r="F20" i="15"/>
  <c r="F72" i="15" s="1"/>
  <c r="G13" i="3"/>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L20" i="6"/>
  <c r="B6" i="1"/>
  <c r="E6" i="1" s="1"/>
  <c r="K11" i="1"/>
  <c r="M11" i="1" s="1"/>
  <c r="O11" i="1" s="1"/>
  <c r="B9" i="1"/>
  <c r="E9" i="1" s="1"/>
  <c r="K7" i="1"/>
  <c r="M7" i="1" s="1"/>
  <c r="O7" i="1" s="1"/>
  <c r="P7" i="1" s="1"/>
  <c r="G1" i="15"/>
  <c r="G1" i="69"/>
  <c r="G1" i="67"/>
  <c r="W25" i="40"/>
  <c r="S39" i="40"/>
  <c r="AB30" i="40"/>
  <c r="W30" i="40"/>
  <c r="W36" i="40"/>
  <c r="W21" i="40"/>
  <c r="S38" i="40"/>
  <c r="W39" i="40"/>
  <c r="S15" i="40"/>
  <c r="S35" i="40"/>
  <c r="U13" i="40"/>
  <c r="S33" i="40"/>
  <c r="AB15" i="40"/>
  <c r="U17" i="40"/>
  <c r="AB19" i="40"/>
  <c r="U10" i="40"/>
  <c r="S10" i="40"/>
  <c r="U44" i="39"/>
  <c r="U15" i="39"/>
  <c r="AA15" i="39"/>
  <c r="S15" i="39"/>
  <c r="S16" i="39"/>
  <c r="U45" i="39"/>
  <c r="AB45" i="39"/>
  <c r="W19" i="39"/>
  <c r="AC19" i="39"/>
  <c r="S25" i="39"/>
  <c r="W36" i="39"/>
  <c r="U40" i="39"/>
  <c r="S10" i="39"/>
  <c r="S20" i="36"/>
  <c r="AC25" i="36"/>
  <c r="W29" i="36"/>
  <c r="AC20" i="36"/>
  <c r="AB28" i="36"/>
  <c r="W22" i="36"/>
  <c r="AB20" i="35"/>
  <c r="AC25" i="35"/>
  <c r="U25" i="35"/>
  <c r="U24" i="35"/>
  <c r="S35" i="35"/>
  <c r="AA16" i="35"/>
  <c r="AA35" i="37"/>
  <c r="W36" i="37"/>
  <c r="S27" i="37"/>
  <c r="W32" i="37"/>
  <c r="U36" i="37"/>
  <c r="AB37" i="37"/>
  <c r="AC34" i="37"/>
  <c r="AB35" i="37"/>
  <c r="AA31" i="37"/>
  <c r="U19" i="37"/>
  <c r="AA29" i="37"/>
  <c r="U8" i="37"/>
  <c r="AA31" i="34"/>
  <c r="AC14" i="34"/>
  <c r="W46" i="34"/>
  <c r="AC46" i="34"/>
  <c r="U30" i="34"/>
  <c r="AB30" i="34"/>
  <c r="S46" i="34"/>
  <c r="AA46" i="34"/>
  <c r="U12" i="34"/>
  <c r="AB12" i="34"/>
  <c r="AB28" i="33"/>
  <c r="AC37" i="33"/>
  <c r="U39" i="33"/>
  <c r="U38" i="33"/>
  <c r="S33" i="33"/>
  <c r="U44" i="33"/>
  <c r="AB44" i="33"/>
  <c r="AC14" i="33"/>
  <c r="W14" i="33"/>
  <c r="S31" i="33"/>
  <c r="AA31" i="33"/>
  <c r="W13" i="33"/>
  <c r="AC13" i="33"/>
  <c r="S11" i="33"/>
  <c r="U37" i="33"/>
  <c r="AC28" i="33"/>
  <c r="S28" i="33"/>
  <c r="W9" i="33"/>
  <c r="W8" i="33"/>
  <c r="S44" i="21"/>
  <c r="U28"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A30" i="21"/>
  <c r="W13" i="21"/>
  <c r="W42" i="21"/>
  <c r="AC45" i="21"/>
  <c r="F10" i="21"/>
  <c r="AA10" i="21" s="1"/>
  <c r="K145" i="21"/>
  <c r="W17"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J36" i="33"/>
  <c r="W36" i="33" s="1"/>
  <c r="H36" i="33"/>
  <c r="U36" i="33" s="1"/>
  <c r="U27" i="33"/>
  <c r="AB27" i="33"/>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AA23" i="21"/>
  <c r="AB15" i="21"/>
  <c r="J23" i="21"/>
  <c r="W23" i="21" s="1"/>
  <c r="H23" i="21"/>
  <c r="U23" i="21" s="1"/>
  <c r="S13" i="21"/>
  <c r="AP7" i="1"/>
  <c r="AB45" i="21"/>
  <c r="AB9" i="21"/>
  <c r="U9" i="21"/>
  <c r="AA32" i="21"/>
  <c r="S32" i="21"/>
  <c r="AC9" i="21"/>
  <c r="AB32" i="21"/>
  <c r="U32" i="21"/>
  <c r="U34" i="39"/>
  <c r="W34" i="39"/>
  <c r="W23" i="37"/>
  <c r="AC23" i="37"/>
  <c r="J63" i="37"/>
  <c r="K63" i="37" s="1"/>
  <c r="L63" i="37" s="1"/>
  <c r="M63" i="37" s="1"/>
  <c r="J11" i="37"/>
  <c r="AC11" i="37" s="1"/>
  <c r="J11" i="34"/>
  <c r="W11" i="34" s="1"/>
  <c r="W27" i="33"/>
  <c r="AC27" i="33"/>
  <c r="W25" i="33"/>
  <c r="AC25" i="33"/>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F36" i="67"/>
  <c r="F52" i="15"/>
  <c r="E7" i="76"/>
  <c r="E13" i="76"/>
  <c r="B12" i="76"/>
  <c r="M28" i="15"/>
  <c r="F38" i="15"/>
  <c r="E11" i="76"/>
  <c r="F4" i="73"/>
  <c r="B10" i="76"/>
  <c r="M22" i="15"/>
  <c r="E9" i="76"/>
  <c r="M6" i="15"/>
  <c r="F3" i="73"/>
  <c r="E8" i="76"/>
  <c r="M31" i="15"/>
  <c r="E12" i="76"/>
  <c r="M9" i="67"/>
  <c r="AO13" i="1"/>
  <c r="M26" i="15"/>
  <c r="L47" i="67"/>
  <c r="F30" i="15"/>
  <c r="M24" i="15"/>
  <c r="C88" i="15"/>
  <c r="F8" i="15"/>
  <c r="D6" i="73"/>
  <c r="F20" i="31"/>
  <c r="F9" i="67"/>
  <c r="M22" i="67"/>
  <c r="F6" i="73"/>
  <c r="F7" i="15"/>
  <c r="F26" i="15"/>
  <c r="F7" i="73"/>
  <c r="F16" i="67"/>
  <c r="F40" i="67"/>
  <c r="F9" i="15"/>
  <c r="M23" i="67"/>
  <c r="B7" i="76"/>
  <c r="B11" i="76"/>
  <c r="L56" i="15"/>
  <c r="F43" i="67"/>
  <c r="E10" i="76"/>
  <c r="M9" i="15"/>
  <c r="C71" i="15"/>
  <c r="B13" i="76"/>
  <c r="C76" i="67"/>
  <c r="F8" i="67"/>
  <c r="M36" i="15"/>
  <c r="F6" i="15"/>
  <c r="M8" i="67"/>
  <c r="B8" i="76"/>
  <c r="F24" i="15"/>
  <c r="F5" i="73"/>
  <c r="M30" i="15"/>
  <c r="F22" i="15"/>
  <c r="F48" i="15"/>
  <c r="B9" i="76"/>
  <c r="F32" i="15"/>
  <c r="F38" i="67"/>
  <c r="J15" i="67"/>
  <c r="M8" i="15"/>
  <c r="F26" i="67"/>
  <c r="F28" i="15"/>
  <c r="J37" i="34" l="1"/>
  <c r="AC37" i="34" s="1"/>
  <c r="F37" i="34"/>
  <c r="AA37" i="34" s="1"/>
  <c r="D45" i="15"/>
  <c r="W25" i="34"/>
  <c r="U25" i="34"/>
  <c r="AA25" i="34"/>
  <c r="S36" i="34"/>
  <c r="W35" i="34"/>
  <c r="S8" i="34"/>
  <c r="AC39" i="34"/>
  <c r="AB47" i="34"/>
  <c r="S19" i="34"/>
  <c r="J17" i="34"/>
  <c r="W17" i="34" s="1"/>
  <c r="F17" i="34"/>
  <c r="AA17" i="34" s="1"/>
  <c r="F78" i="34"/>
  <c r="G78" i="34" s="1"/>
  <c r="H15" i="34"/>
  <c r="J15" i="34"/>
  <c r="W15" i="34" s="1"/>
  <c r="AC38" i="34"/>
  <c r="AB40" i="34"/>
  <c r="U39" i="34"/>
  <c r="S38" i="34"/>
  <c r="S35" i="34"/>
  <c r="W47" i="34"/>
  <c r="W43" i="34"/>
  <c r="U43" i="34"/>
  <c r="W44" i="34"/>
  <c r="S44" i="34"/>
  <c r="S43" i="34"/>
  <c r="W41" i="34"/>
  <c r="AC40" i="34"/>
  <c r="U38" i="34"/>
  <c r="W36" i="34"/>
  <c r="W33" i="34"/>
  <c r="AA33" i="34"/>
  <c r="S23" i="34"/>
  <c r="AC23" i="34"/>
  <c r="W19" i="34"/>
  <c r="U19" i="34"/>
  <c r="S21" i="34"/>
  <c r="W9" i="34"/>
  <c r="AB8" i="34"/>
  <c r="A15" i="62"/>
  <c r="B61" i="72" s="1"/>
  <c r="B13" i="53"/>
  <c r="B29" i="72" s="1"/>
  <c r="AZ584" i="3"/>
  <c r="AZ568" i="3"/>
  <c r="AZ530" i="3"/>
  <c r="AZ504" i="3"/>
  <c r="U30" i="33"/>
  <c r="AB30" i="33"/>
  <c r="AA46" i="33"/>
  <c r="S46" i="33"/>
  <c r="AB29" i="34"/>
  <c r="U29" i="34"/>
  <c r="S45" i="34"/>
  <c r="AA45" i="34"/>
  <c r="W34" i="33"/>
  <c r="AC34" i="33"/>
  <c r="U45" i="33"/>
  <c r="AB45" i="33"/>
  <c r="S17" i="40"/>
  <c r="AA17" i="40"/>
  <c r="H16" i="40"/>
  <c r="U16" i="40" s="1"/>
  <c r="J16" i="40"/>
  <c r="BA566" i="3"/>
  <c r="AZ566" i="3" s="1"/>
  <c r="BL545" i="3"/>
  <c r="BA545" i="3"/>
  <c r="BL538" i="3"/>
  <c r="AZ538" i="3" s="1"/>
  <c r="BA532" i="3"/>
  <c r="AZ532" i="3" s="1"/>
  <c r="BA531" i="3"/>
  <c r="BL528" i="3"/>
  <c r="AZ528" i="3" s="1"/>
  <c r="BL516" i="3"/>
  <c r="AZ516" i="3" s="1"/>
  <c r="BL513" i="3"/>
  <c r="BA513" i="3"/>
  <c r="AZ513" i="3" s="1"/>
  <c r="BA512" i="3"/>
  <c r="AZ512" i="3" s="1"/>
  <c r="BA511" i="3"/>
  <c r="BL509" i="3"/>
  <c r="AZ509" i="3" s="1"/>
  <c r="BL502" i="3"/>
  <c r="BA502" i="3"/>
  <c r="BS5" i="3"/>
  <c r="BA495" i="3"/>
  <c r="AB19" i="33"/>
  <c r="S25" i="21"/>
  <c r="AA25" i="21"/>
  <c r="AZ579" i="3"/>
  <c r="AZ524" i="3"/>
  <c r="W13" i="34"/>
  <c r="AC13" i="34"/>
  <c r="U14" i="33"/>
  <c r="AB14" i="33"/>
  <c r="AA25" i="40"/>
  <c r="S25" i="40"/>
  <c r="W42" i="34"/>
  <c r="AC42" i="34"/>
  <c r="AZ580" i="3"/>
  <c r="BA573" i="3"/>
  <c r="BL572" i="3"/>
  <c r="BL571" i="3"/>
  <c r="AZ571" i="3" s="1"/>
  <c r="BL567" i="3"/>
  <c r="BA567" i="3"/>
  <c r="BA542" i="3"/>
  <c r="AZ542" i="3" s="1"/>
  <c r="AZ540" i="3"/>
  <c r="BL536" i="3"/>
  <c r="AZ536" i="3" s="1"/>
  <c r="BL529" i="3"/>
  <c r="BA529" i="3"/>
  <c r="BA508" i="3"/>
  <c r="AZ508" i="3" s="1"/>
  <c r="BL501" i="3"/>
  <c r="BA501" i="3"/>
  <c r="BK5" i="3"/>
  <c r="BL497" i="3"/>
  <c r="AZ497" i="3" s="1"/>
  <c r="BL496" i="3"/>
  <c r="BA494" i="3"/>
  <c r="AZ494" i="3" s="1"/>
  <c r="BH5" i="3"/>
  <c r="AA19" i="33"/>
  <c r="W32" i="33"/>
  <c r="W31" i="21"/>
  <c r="AA32" i="34"/>
  <c r="AB33" i="34"/>
  <c r="AA40" i="34"/>
  <c r="U38" i="37"/>
  <c r="S28" i="37"/>
  <c r="AC27" i="39"/>
  <c r="AB33" i="40"/>
  <c r="AB35" i="34"/>
  <c r="AB14" i="36"/>
  <c r="AA14" i="39"/>
  <c r="BO5" i="3"/>
  <c r="AZ318" i="3"/>
  <c r="AZ327" i="3"/>
  <c r="AZ309" i="3"/>
  <c r="W37" i="40"/>
  <c r="U42" i="39"/>
  <c r="W12" i="37"/>
  <c r="AC12" i="37"/>
  <c r="AA13" i="33"/>
  <c r="BL515" i="3"/>
  <c r="AZ515" i="3" s="1"/>
  <c r="BL523" i="3"/>
  <c r="BL547" i="3"/>
  <c r="AZ547" i="3" s="1"/>
  <c r="BL569" i="3"/>
  <c r="AZ569" i="3" s="1"/>
  <c r="AB14" i="40"/>
  <c r="U14" i="40"/>
  <c r="AC31" i="34"/>
  <c r="W31" i="34"/>
  <c r="H44" i="21"/>
  <c r="AB23" i="34"/>
  <c r="U17" i="34"/>
  <c r="AB17" i="34"/>
  <c r="U36" i="39"/>
  <c r="AB36" i="39"/>
  <c r="U33" i="33"/>
  <c r="W35" i="21"/>
  <c r="AC35" i="21"/>
  <c r="AB9" i="33"/>
  <c r="U9" i="33"/>
  <c r="AC33" i="33"/>
  <c r="W33" i="33"/>
  <c r="AB26" i="37"/>
  <c r="U26" i="37"/>
  <c r="F96" i="39"/>
  <c r="G96" i="39" s="1"/>
  <c r="J23" i="39"/>
  <c r="W23" i="39" s="1"/>
  <c r="H37" i="39"/>
  <c r="H46" i="39"/>
  <c r="F46" i="39"/>
  <c r="AA36" i="39"/>
  <c r="S36" i="39"/>
  <c r="AB11" i="40"/>
  <c r="U11" i="40"/>
  <c r="U41" i="40"/>
  <c r="AB41" i="40"/>
  <c r="W14" i="40"/>
  <c r="AC14" i="40"/>
  <c r="U42" i="34"/>
  <c r="AB42" i="34"/>
  <c r="AB31" i="35"/>
  <c r="U31" i="35"/>
  <c r="BA583" i="3"/>
  <c r="BA582" i="3"/>
  <c r="AZ582" i="3" s="1"/>
  <c r="U20" i="36"/>
  <c r="AB20" i="36"/>
  <c r="AA43" i="33"/>
  <c r="S43" i="33"/>
  <c r="AC17" i="34"/>
  <c r="S40" i="33"/>
  <c r="AA40" i="33"/>
  <c r="BA575" i="3"/>
  <c r="AZ575" i="3" s="1"/>
  <c r="AZ572" i="3"/>
  <c r="BA548" i="3"/>
  <c r="BA547" i="3"/>
  <c r="BA546" i="3"/>
  <c r="AZ546" i="3" s="1"/>
  <c r="BL541" i="3"/>
  <c r="AZ541" i="3" s="1"/>
  <c r="BA537" i="3"/>
  <c r="AZ537" i="3" s="1"/>
  <c r="BA526" i="3"/>
  <c r="AZ526" i="3" s="1"/>
  <c r="BL525" i="3"/>
  <c r="AZ525" i="3" s="1"/>
  <c r="BA523" i="3"/>
  <c r="BL522" i="3"/>
  <c r="AZ522" i="3" s="1"/>
  <c r="BA520" i="3"/>
  <c r="AZ520" i="3" s="1"/>
  <c r="BA519" i="3"/>
  <c r="BL518" i="3"/>
  <c r="BA518" i="3"/>
  <c r="AZ518" i="3" s="1"/>
  <c r="BL517" i="3"/>
  <c r="BL514" i="3"/>
  <c r="AZ514" i="3" s="1"/>
  <c r="BA506" i="3"/>
  <c r="AZ506" i="3" s="1"/>
  <c r="BL505" i="3"/>
  <c r="AZ505" i="3" s="1"/>
  <c r="BA503" i="3"/>
  <c r="AZ503" i="3" s="1"/>
  <c r="BL500" i="3"/>
  <c r="BA500" i="3"/>
  <c r="AZ500" i="3" s="1"/>
  <c r="BL498" i="3"/>
  <c r="AZ498" i="3" s="1"/>
  <c r="BJ5" i="3"/>
  <c r="BA496" i="3"/>
  <c r="BI5" i="3"/>
  <c r="BR5" i="3"/>
  <c r="BA493" i="3"/>
  <c r="AZ493" i="3" s="1"/>
  <c r="C21" i="71"/>
  <c r="D21" i="71" s="1"/>
  <c r="AA17" i="33"/>
  <c r="S37" i="21"/>
  <c r="AA25" i="33"/>
  <c r="AA23" i="37"/>
  <c r="S17" i="37"/>
  <c r="W25" i="21"/>
  <c r="AB42" i="21"/>
  <c r="U15" i="33"/>
  <c r="AB36" i="34"/>
  <c r="AA30" i="34"/>
  <c r="W35" i="35"/>
  <c r="AC40" i="21"/>
  <c r="W13" i="35"/>
  <c r="U14" i="35"/>
  <c r="S14" i="36"/>
  <c r="BN5" i="3"/>
  <c r="BD5" i="3"/>
  <c r="AA37" i="37"/>
  <c r="BL531" i="3"/>
  <c r="AZ531" i="3" s="1"/>
  <c r="BL559" i="3"/>
  <c r="BL583" i="3"/>
  <c r="AZ583" i="3" s="1"/>
  <c r="F16" i="40"/>
  <c r="AB13" i="37"/>
  <c r="U13" i="37"/>
  <c r="AB13" i="36"/>
  <c r="U13" i="36"/>
  <c r="J44" i="21"/>
  <c r="AB15" i="34"/>
  <c r="U15" i="34"/>
  <c r="U16" i="35"/>
  <c r="S34" i="36"/>
  <c r="AA34" i="36"/>
  <c r="W13" i="40"/>
  <c r="AC13" i="40"/>
  <c r="AA37" i="40"/>
  <c r="AA23" i="40"/>
  <c r="S23" i="40"/>
  <c r="AA21" i="39"/>
  <c r="S21" i="39"/>
  <c r="BA586" i="3"/>
  <c r="BL585" i="3"/>
  <c r="BA585" i="3"/>
  <c r="H13" i="21"/>
  <c r="AC8" i="34"/>
  <c r="W8" i="34"/>
  <c r="F28" i="34"/>
  <c r="J28" i="34"/>
  <c r="J12" i="33"/>
  <c r="F29" i="33"/>
  <c r="J29" i="33"/>
  <c r="F45" i="33"/>
  <c r="J45" i="33"/>
  <c r="F14" i="34"/>
  <c r="H14" i="34"/>
  <c r="J32" i="34"/>
  <c r="H32" i="34"/>
  <c r="F12" i="35"/>
  <c r="H12" i="35"/>
  <c r="AA27" i="35"/>
  <c r="S27" i="35"/>
  <c r="H9" i="36"/>
  <c r="AB9" i="36" s="1"/>
  <c r="J9" i="36"/>
  <c r="F13" i="36"/>
  <c r="J13" i="36"/>
  <c r="F25" i="36"/>
  <c r="H25" i="36"/>
  <c r="F32" i="36"/>
  <c r="H32" i="36"/>
  <c r="J32" i="36"/>
  <c r="W32" i="36" s="1"/>
  <c r="AB29" i="36"/>
  <c r="U29" i="36"/>
  <c r="AC31" i="37"/>
  <c r="W31" i="37"/>
  <c r="AA11" i="39"/>
  <c r="S11" i="39"/>
  <c r="H47" i="39"/>
  <c r="J47" i="39"/>
  <c r="W47" i="39" s="1"/>
  <c r="F47" i="39"/>
  <c r="F102" i="39"/>
  <c r="G102" i="39" s="1"/>
  <c r="J29" i="39"/>
  <c r="W29" i="39" s="1"/>
  <c r="AA40" i="39"/>
  <c r="S40" i="39"/>
  <c r="J34" i="40"/>
  <c r="F34" i="40"/>
  <c r="AB34" i="33"/>
  <c r="AC15" i="37"/>
  <c r="U16" i="36"/>
  <c r="AC15" i="39"/>
  <c r="BP5" i="3"/>
  <c r="G29" i="6" s="1"/>
  <c r="BL519" i="3"/>
  <c r="AZ519" i="3" s="1"/>
  <c r="BL573" i="3"/>
  <c r="AZ573" i="3" s="1"/>
  <c r="S14" i="33"/>
  <c r="AA14" i="33"/>
  <c r="W11" i="35"/>
  <c r="AC11" i="35"/>
  <c r="AA23" i="35"/>
  <c r="S23" i="35"/>
  <c r="S31" i="35"/>
  <c r="F37" i="39"/>
  <c r="AB35" i="21"/>
  <c r="U35" i="21"/>
  <c r="F31" i="21"/>
  <c r="H31" i="21"/>
  <c r="AB34" i="34"/>
  <c r="U34" i="34"/>
  <c r="J30" i="33"/>
  <c r="F30" i="33"/>
  <c r="H46" i="33"/>
  <c r="J46" i="33"/>
  <c r="J29" i="34"/>
  <c r="F29" i="34"/>
  <c r="J45" i="34"/>
  <c r="H45" i="34"/>
  <c r="F13" i="35"/>
  <c r="H13" i="35"/>
  <c r="J24" i="35"/>
  <c r="F24" i="35"/>
  <c r="U27" i="35"/>
  <c r="AB27" i="35"/>
  <c r="F11" i="36"/>
  <c r="J11" i="36"/>
  <c r="AC11" i="36" s="1"/>
  <c r="H23" i="36"/>
  <c r="J23" i="36"/>
  <c r="F23" i="36"/>
  <c r="AC25" i="37"/>
  <c r="W25" i="37"/>
  <c r="BA565" i="3"/>
  <c r="BA564" i="3"/>
  <c r="AZ564" i="3" s="1"/>
  <c r="BL562" i="3"/>
  <c r="BL560" i="3"/>
  <c r="AZ560" i="3" s="1"/>
  <c r="BA559" i="3"/>
  <c r="AZ559" i="3" s="1"/>
  <c r="BA558" i="3"/>
  <c r="AZ558" i="3" s="1"/>
  <c r="BA557" i="3"/>
  <c r="AZ557" i="3" s="1"/>
  <c r="BL556" i="3"/>
  <c r="AZ556" i="3" s="1"/>
  <c r="AZ345" i="3"/>
  <c r="AZ371" i="3"/>
  <c r="AZ305" i="3"/>
  <c r="AZ360" i="3"/>
  <c r="BL511" i="3"/>
  <c r="AZ511" i="3" s="1"/>
  <c r="BL539" i="3"/>
  <c r="AZ539" i="3" s="1"/>
  <c r="BL543" i="3"/>
  <c r="AZ543" i="3" s="1"/>
  <c r="BL565" i="3"/>
  <c r="G585" i="3"/>
  <c r="BL587" i="3"/>
  <c r="AZ587" i="3" s="1"/>
  <c r="BL586" i="3"/>
  <c r="AC28" i="35"/>
  <c r="W28" i="35"/>
  <c r="J12" i="34"/>
  <c r="F12" i="34"/>
  <c r="S12" i="34" s="1"/>
  <c r="BA551" i="3"/>
  <c r="AZ551" i="3" s="1"/>
  <c r="BA550" i="3"/>
  <c r="BL548" i="3"/>
  <c r="AB41" i="34"/>
  <c r="W38" i="37"/>
  <c r="AC29" i="37"/>
  <c r="AA26" i="36"/>
  <c r="AZ387" i="3"/>
  <c r="AZ338" i="3"/>
  <c r="AZ311" i="3"/>
  <c r="AZ364" i="3"/>
  <c r="AZ329" i="3"/>
  <c r="AZ304" i="3"/>
  <c r="AZ139" i="3"/>
  <c r="AZ306" i="3"/>
  <c r="BL535" i="3"/>
  <c r="AZ535" i="3" s="1"/>
  <c r="BL577" i="3"/>
  <c r="AZ577" i="3" s="1"/>
  <c r="F40" i="37"/>
  <c r="J31" i="33"/>
  <c r="F45" i="21"/>
  <c r="AC27" i="35"/>
  <c r="U11" i="39"/>
  <c r="G587" i="3"/>
  <c r="B101" i="43"/>
  <c r="B79" i="43"/>
  <c r="F9" i="34"/>
  <c r="AA9" i="34" s="1"/>
  <c r="H9" i="34"/>
  <c r="AB34" i="35"/>
  <c r="U34" i="35"/>
  <c r="J23" i="35"/>
  <c r="H23" i="35"/>
  <c r="H33" i="39"/>
  <c r="F33" i="39"/>
  <c r="J33" i="39"/>
  <c r="AB40" i="40"/>
  <c r="U40" i="40"/>
  <c r="G556" i="3"/>
  <c r="AZ413" i="3"/>
  <c r="AZ419" i="3"/>
  <c r="AZ476" i="3"/>
  <c r="BL398" i="3"/>
  <c r="G402" i="3"/>
  <c r="BL403" i="3"/>
  <c r="G405" i="3"/>
  <c r="G406" i="3"/>
  <c r="BA408" i="3"/>
  <c r="AZ408" i="3" s="1"/>
  <c r="BA409" i="3"/>
  <c r="AZ409" i="3" s="1"/>
  <c r="BA412" i="3"/>
  <c r="AZ412" i="3" s="1"/>
  <c r="BA425" i="3"/>
  <c r="AZ425" i="3" s="1"/>
  <c r="BA426" i="3"/>
  <c r="BA427" i="3"/>
  <c r="AZ427" i="3" s="1"/>
  <c r="BA432" i="3"/>
  <c r="AZ432" i="3" s="1"/>
  <c r="AZ443" i="3"/>
  <c r="BA331" i="3"/>
  <c r="AZ331" i="3" s="1"/>
  <c r="AZ301" i="3"/>
  <c r="J38" i="39"/>
  <c r="AC38" i="39" s="1"/>
  <c r="G558" i="3"/>
  <c r="BA398" i="3"/>
  <c r="AZ398" i="3" s="1"/>
  <c r="BA399" i="3"/>
  <c r="AZ399" i="3" s="1"/>
  <c r="BL401" i="3"/>
  <c r="BL404" i="3"/>
  <c r="BL405" i="3"/>
  <c r="BL407" i="3"/>
  <c r="AZ407" i="3" s="1"/>
  <c r="G414" i="3"/>
  <c r="BL414" i="3"/>
  <c r="AZ414" i="3" s="1"/>
  <c r="BL415" i="3"/>
  <c r="AZ415" i="3" s="1"/>
  <c r="BA418" i="3"/>
  <c r="G421" i="3"/>
  <c r="BL421" i="3"/>
  <c r="BL422" i="3"/>
  <c r="BA431" i="3"/>
  <c r="BA437" i="3"/>
  <c r="AZ437" i="3" s="1"/>
  <c r="BA438" i="3"/>
  <c r="BL441" i="3"/>
  <c r="BL442" i="3"/>
  <c r="BL447" i="3"/>
  <c r="BL448" i="3"/>
  <c r="AZ448" i="3" s="1"/>
  <c r="G451" i="3"/>
  <c r="BA456" i="3"/>
  <c r="BA457" i="3"/>
  <c r="AZ457" i="3" s="1"/>
  <c r="G459" i="3"/>
  <c r="BL550" i="3"/>
  <c r="BA401" i="3"/>
  <c r="BA403" i="3"/>
  <c r="BA404" i="3"/>
  <c r="AZ404" i="3" s="1"/>
  <c r="BA405" i="3"/>
  <c r="AZ405" i="3" s="1"/>
  <c r="G411" i="3"/>
  <c r="AZ421" i="3"/>
  <c r="BA428" i="3"/>
  <c r="BA429" i="3"/>
  <c r="BA430" i="3"/>
  <c r="AZ430" i="3" s="1"/>
  <c r="BA436" i="3"/>
  <c r="BA444" i="3"/>
  <c r="AZ444" i="3" s="1"/>
  <c r="BA446" i="3"/>
  <c r="BA453" i="3"/>
  <c r="BA455" i="3"/>
  <c r="AZ455" i="3" s="1"/>
  <c r="BL458" i="3"/>
  <c r="AZ458" i="3" s="1"/>
  <c r="AZ480" i="3"/>
  <c r="G358" i="3"/>
  <c r="BL381" i="3"/>
  <c r="AZ381" i="3" s="1"/>
  <c r="BA238" i="3"/>
  <c r="AZ126" i="3"/>
  <c r="BA460" i="3"/>
  <c r="AZ460" i="3" s="1"/>
  <c r="BA461" i="3"/>
  <c r="AZ461" i="3" s="1"/>
  <c r="BL464" i="3"/>
  <c r="BL466" i="3"/>
  <c r="AZ466" i="3" s="1"/>
  <c r="G469" i="3"/>
  <c r="BL476" i="3"/>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A137" i="3"/>
  <c r="BL139" i="3"/>
  <c r="BL141" i="3"/>
  <c r="BL143" i="3"/>
  <c r="AZ143" i="3" s="1"/>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5" i="3"/>
  <c r="BL154" i="3"/>
  <c r="BA157" i="3"/>
  <c r="AZ157" i="3" s="1"/>
  <c r="BL163" i="3"/>
  <c r="AZ163" i="3" s="1"/>
  <c r="BL171" i="3"/>
  <c r="AZ171" i="3" s="1"/>
  <c r="BL411" i="3"/>
  <c r="AZ411" i="3" s="1"/>
  <c r="BL413" i="3"/>
  <c r="G415" i="3"/>
  <c r="G416" i="3"/>
  <c r="BL417" i="3"/>
  <c r="AZ417" i="3" s="1"/>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G138" i="3"/>
  <c r="BA144" i="3"/>
  <c r="AZ144" i="3" s="1"/>
  <c r="BA156" i="3"/>
  <c r="AZ156" i="3" s="1"/>
  <c r="BA169" i="3"/>
  <c r="AZ169" i="3" s="1"/>
  <c r="BL29" i="3"/>
  <c r="AZ62" i="3"/>
  <c r="AZ64" i="3"/>
  <c r="BL68" i="3"/>
  <c r="BA69" i="3"/>
  <c r="AZ69" i="3" s="1"/>
  <c r="BL81" i="3"/>
  <c r="BA82" i="3"/>
  <c r="AZ82" i="3" s="1"/>
  <c r="G92" i="3"/>
  <c r="BL92" i="3"/>
  <c r="AZ100" i="3"/>
  <c r="BA105" i="3"/>
  <c r="AZ105" i="3" s="1"/>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AZ29" i="3" s="1"/>
  <c r="BA36" i="3"/>
  <c r="BL38" i="3"/>
  <c r="AZ38" i="3" s="1"/>
  <c r="BA39" i="3"/>
  <c r="AZ39" i="3" s="1"/>
  <c r="BL47" i="3"/>
  <c r="AZ47" i="3" s="1"/>
  <c r="G49" i="3"/>
  <c r="G50" i="3"/>
  <c r="G52" i="3"/>
  <c r="BA52" i="3"/>
  <c r="AZ52" i="3" s="1"/>
  <c r="BL54" i="3"/>
  <c r="BA72" i="3"/>
  <c r="AZ72" i="3" s="1"/>
  <c r="G76" i="3"/>
  <c r="BA97" i="3"/>
  <c r="AZ97" i="3" s="1"/>
  <c r="BL107" i="3"/>
  <c r="G112" i="3"/>
  <c r="B13" i="1"/>
  <c r="E13" i="1" s="1"/>
  <c r="K13" i="1"/>
  <c r="M13" i="1" s="1"/>
  <c r="O13" i="1" s="1"/>
  <c r="P13" i="1"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AZ27" i="3"/>
  <c r="BA38" i="3"/>
  <c r="BA41" i="3"/>
  <c r="BA42" i="3"/>
  <c r="BL48" i="3"/>
  <c r="BA55" i="3"/>
  <c r="AZ55" i="3" s="1"/>
  <c r="BA56" i="3"/>
  <c r="BA57" i="3"/>
  <c r="BL58" i="3"/>
  <c r="BA60" i="3"/>
  <c r="BA63" i="3"/>
  <c r="P65" i="71"/>
  <c r="P66" i="71"/>
  <c r="D46" i="71"/>
  <c r="C47" i="71"/>
  <c r="D47" i="71" s="1"/>
  <c r="C52" i="71"/>
  <c r="D51" i="71"/>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G30" i="3"/>
  <c r="BL30" i="3"/>
  <c r="BL31" i="3"/>
  <c r="AZ31" i="3" s="1"/>
  <c r="G35" i="3"/>
  <c r="G36" i="3"/>
  <c r="G37" i="3"/>
  <c r="G40" i="3"/>
  <c r="BL40" i="3"/>
  <c r="BL41" i="3"/>
  <c r="G45" i="3"/>
  <c r="BL52" i="3"/>
  <c r="G53" i="3"/>
  <c r="BL53" i="3"/>
  <c r="AZ53" i="3" s="1"/>
  <c r="BL57" i="3"/>
  <c r="G62" i="3"/>
  <c r="BL62" i="3"/>
  <c r="BL63" i="3"/>
  <c r="G65" i="3"/>
  <c r="BL65" i="3"/>
  <c r="AZ65" i="3" s="1"/>
  <c r="BL66" i="3"/>
  <c r="AZ66" i="3" s="1"/>
  <c r="BL67" i="3"/>
  <c r="AZ67" i="3" s="1"/>
  <c r="BL70" i="3"/>
  <c r="AZ70" i="3" s="1"/>
  <c r="BL71" i="3"/>
  <c r="AZ71" i="3" s="1"/>
  <c r="BA78" i="3"/>
  <c r="BL83" i="3"/>
  <c r="G88" i="3"/>
  <c r="BA90" i="3"/>
  <c r="BA94" i="3"/>
  <c r="AZ94" i="3" s="1"/>
  <c r="BL99" i="3"/>
  <c r="BA111" i="3"/>
  <c r="C32" i="71"/>
  <c r="D31" i="71"/>
  <c r="C55" i="71"/>
  <c r="D54" i="71"/>
  <c r="C64" i="71"/>
  <c r="D63" i="71"/>
  <c r="V24" i="71"/>
  <c r="E23" i="71"/>
  <c r="E22" i="71" s="1"/>
  <c r="E21" i="71" s="1"/>
  <c r="E20" i="71" s="1"/>
  <c r="V20" i="71" s="1"/>
  <c r="AA34" i="71"/>
  <c r="AB35" i="71"/>
  <c r="B51" i="71"/>
  <c r="B52" i="71" s="1"/>
  <c r="S52" i="71" s="1"/>
  <c r="B71" i="71"/>
  <c r="B70" i="71" s="1"/>
  <c r="G72" i="3"/>
  <c r="BL73" i="3"/>
  <c r="BA74" i="3"/>
  <c r="AZ74" i="3" s="1"/>
  <c r="BA75" i="3"/>
  <c r="AZ75" i="3" s="1"/>
  <c r="G81" i="3"/>
  <c r="BL85" i="3"/>
  <c r="BA86" i="3"/>
  <c r="AZ86" i="3" s="1"/>
  <c r="BA87" i="3"/>
  <c r="BA91" i="3"/>
  <c r="AZ91" i="3" s="1"/>
  <c r="BL97" i="3"/>
  <c r="BL101" i="3"/>
  <c r="AZ101" i="3" s="1"/>
  <c r="BL102" i="3"/>
  <c r="AZ102" i="3" s="1"/>
  <c r="G105" i="3"/>
  <c r="BL106" i="3"/>
  <c r="BA108" i="3"/>
  <c r="AZ108" i="3" s="1"/>
  <c r="BA110" i="3"/>
  <c r="AZ110" i="3" s="1"/>
  <c r="AC21" i="37"/>
  <c r="U21" i="34"/>
  <c r="W18" i="36"/>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5" i="3"/>
  <c r="AZ45" i="3" s="1"/>
  <c r="BA48" i="3"/>
  <c r="BA49" i="3"/>
  <c r="AZ49" i="3" s="1"/>
  <c r="BA51" i="3"/>
  <c r="AZ51" i="3" s="1"/>
  <c r="G54" i="3"/>
  <c r="G55" i="3"/>
  <c r="BL56" i="3"/>
  <c r="BA58" i="3"/>
  <c r="BL59" i="3"/>
  <c r="AZ59" i="3" s="1"/>
  <c r="BL60" i="3"/>
  <c r="BA61" i="3"/>
  <c r="AZ61" i="3" s="1"/>
  <c r="BA68" i="3"/>
  <c r="BA73" i="3"/>
  <c r="BA80" i="3"/>
  <c r="G84" i="3"/>
  <c r="BL84" i="3"/>
  <c r="AZ84" i="3" s="1"/>
  <c r="BA89" i="3"/>
  <c r="G99" i="3"/>
  <c r="G103" i="3"/>
  <c r="BA103" i="3"/>
  <c r="AZ103" i="3" s="1"/>
  <c r="BA104" i="3"/>
  <c r="AZ104" i="3" s="1"/>
  <c r="BA106" i="3"/>
  <c r="BL108" i="3"/>
  <c r="G110" i="3"/>
  <c r="BL111" i="3"/>
  <c r="S18" i="36"/>
  <c r="B77" i="43"/>
  <c r="AA18" i="35"/>
  <c r="O66" i="71"/>
  <c r="AA28" i="71"/>
  <c r="AB27" i="71"/>
  <c r="C87" i="71"/>
  <c r="AB25" i="71"/>
  <c r="C43" i="71"/>
  <c r="C35" i="71"/>
  <c r="X33" i="71"/>
  <c r="AB37" i="71"/>
  <c r="BL112" i="3"/>
  <c r="AA27" i="71"/>
  <c r="C39" i="71"/>
  <c r="X28" i="71"/>
  <c r="L8" i="15"/>
  <c r="E8" i="15"/>
  <c r="M14" i="15"/>
  <c r="F14" i="15"/>
  <c r="E14" i="15"/>
  <c r="F66" i="15"/>
  <c r="U13" i="39"/>
  <c r="U29" i="35"/>
  <c r="AB36" i="33"/>
  <c r="S36" i="33"/>
  <c r="S37" i="34"/>
  <c r="C7" i="15"/>
  <c r="C9" i="15"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M7" i="15"/>
  <c r="J7" i="15" s="1"/>
  <c r="J9" i="15" s="1"/>
  <c r="F59" i="15"/>
  <c r="F60" i="15"/>
  <c r="E60" i="15" s="1"/>
  <c r="F84" i="15"/>
  <c r="F66" i="67"/>
  <c r="L68" i="15"/>
  <c r="N68" i="15"/>
  <c r="F78" i="15"/>
  <c r="Q71" i="67"/>
  <c r="F75" i="15"/>
  <c r="C27" i="67"/>
  <c r="F71" i="67"/>
  <c r="C49" i="15"/>
  <c r="F77" i="15"/>
  <c r="N59" i="67"/>
  <c r="L59" i="67"/>
  <c r="M59" i="67"/>
  <c r="B13" i="70"/>
  <c r="F68" i="67"/>
  <c r="F64" i="67"/>
  <c r="F80" i="15"/>
  <c r="D9" i="69"/>
  <c r="D15" i="80"/>
  <c r="D21" i="12"/>
  <c r="F52" i="81"/>
  <c r="M8" i="81"/>
  <c r="F13" i="67"/>
  <c r="M9" i="81"/>
  <c r="D7" i="73"/>
  <c r="M36" i="81"/>
  <c r="M6" i="67"/>
  <c r="F24" i="81"/>
  <c r="M30" i="81"/>
  <c r="C38" i="15"/>
  <c r="F7" i="67"/>
  <c r="F32" i="81"/>
  <c r="M28" i="81"/>
  <c r="C19" i="81"/>
  <c r="D4" i="73"/>
  <c r="F26" i="81"/>
  <c r="F28" i="81"/>
  <c r="M24" i="81"/>
  <c r="F37" i="67"/>
  <c r="C71" i="81"/>
  <c r="F22" i="81"/>
  <c r="M26" i="81"/>
  <c r="F6" i="67"/>
  <c r="M26" i="67"/>
  <c r="F7" i="81"/>
  <c r="L48" i="67"/>
  <c r="F42" i="67"/>
  <c r="F8" i="81"/>
  <c r="L57" i="81"/>
  <c r="D15" i="68"/>
  <c r="F48" i="81"/>
  <c r="L56" i="81"/>
  <c r="M24" i="67"/>
  <c r="D5" i="73"/>
  <c r="C16" i="67"/>
  <c r="M29" i="67"/>
  <c r="F38" i="81"/>
  <c r="F6" i="81"/>
  <c r="M6" i="81"/>
  <c r="C88" i="81"/>
  <c r="M28" i="67"/>
  <c r="F9" i="81"/>
  <c r="M22" i="81"/>
  <c r="F30" i="81"/>
  <c r="M31" i="81"/>
  <c r="D3" i="73"/>
  <c r="L57" i="15"/>
  <c r="S17" i="34" l="1"/>
  <c r="S9" i="34"/>
  <c r="AC15" i="34"/>
  <c r="H16" i="1"/>
  <c r="E13" i="6"/>
  <c r="E12" i="6"/>
  <c r="E59" i="40" s="1"/>
  <c r="J7" i="36"/>
  <c r="W7" i="36" s="1"/>
  <c r="C6" i="67"/>
  <c r="F31" i="67"/>
  <c r="F65" i="67"/>
  <c r="M7" i="67"/>
  <c r="J6" i="67" s="1"/>
  <c r="F50" i="67"/>
  <c r="C49" i="67" s="1"/>
  <c r="G5" i="3"/>
  <c r="B3" i="3" s="1"/>
  <c r="AT6" i="3" s="1"/>
  <c r="AZ111" i="3"/>
  <c r="AC33" i="39"/>
  <c r="W33" i="39"/>
  <c r="AC23" i="35"/>
  <c r="W23" i="35"/>
  <c r="AA40" i="37"/>
  <c r="S40" i="37"/>
  <c r="AZ550" i="3"/>
  <c r="S23" i="36"/>
  <c r="AA23" i="36"/>
  <c r="AA11" i="36"/>
  <c r="S11" i="36"/>
  <c r="AC24" i="35"/>
  <c r="W24" i="35"/>
  <c r="W45" i="34"/>
  <c r="AC45" i="34"/>
  <c r="AB46" i="33"/>
  <c r="U46" i="33"/>
  <c r="S25" i="36"/>
  <c r="AA25" i="36"/>
  <c r="S14" i="34"/>
  <c r="AA14" i="34"/>
  <c r="S29" i="33"/>
  <c r="AA29" i="33"/>
  <c r="AZ548" i="3"/>
  <c r="W16" i="40"/>
  <c r="AC16" i="40"/>
  <c r="AZ89" i="3"/>
  <c r="C40" i="71"/>
  <c r="D39" i="71"/>
  <c r="C86" i="71"/>
  <c r="D86" i="71" s="1"/>
  <c r="D87" i="71"/>
  <c r="AZ58" i="3"/>
  <c r="C56" i="71"/>
  <c r="D55" i="71"/>
  <c r="T52" i="71"/>
  <c r="D52" i="71"/>
  <c r="AZ57" i="3"/>
  <c r="AZ297" i="3"/>
  <c r="AZ241" i="3"/>
  <c r="AZ249" i="3"/>
  <c r="AZ218" i="3"/>
  <c r="AZ332" i="3"/>
  <c r="AZ238" i="3"/>
  <c r="AZ453" i="3"/>
  <c r="AA33" i="39"/>
  <c r="S33" i="39"/>
  <c r="AZ565" i="3"/>
  <c r="AC23" i="36"/>
  <c r="W23" i="36"/>
  <c r="U13" i="35"/>
  <c r="AB13" i="35"/>
  <c r="S29" i="34"/>
  <c r="AA29" i="34"/>
  <c r="AA30" i="33"/>
  <c r="S30" i="33"/>
  <c r="AB31" i="21"/>
  <c r="U31" i="21"/>
  <c r="S37" i="39"/>
  <c r="AA37" i="39"/>
  <c r="S34" i="40"/>
  <c r="AA34" i="40"/>
  <c r="U47" i="39"/>
  <c r="AB47" i="39"/>
  <c r="AB32" i="36"/>
  <c r="U32" i="36"/>
  <c r="U32" i="34"/>
  <c r="AB32" i="34"/>
  <c r="W45" i="33"/>
  <c r="AC45" i="33"/>
  <c r="W12" i="33"/>
  <c r="AC12" i="33"/>
  <c r="AZ586" i="3"/>
  <c r="AA46" i="39"/>
  <c r="S46" i="39"/>
  <c r="AZ523" i="3"/>
  <c r="C36" i="71"/>
  <c r="D35" i="71"/>
  <c r="B27" i="71"/>
  <c r="B26" i="71" s="1"/>
  <c r="S28" i="71"/>
  <c r="AZ182" i="3"/>
  <c r="AZ63" i="3"/>
  <c r="AZ41" i="3"/>
  <c r="AZ302" i="3"/>
  <c r="AZ277" i="3"/>
  <c r="AZ256" i="3"/>
  <c r="AZ397" i="3"/>
  <c r="AZ118" i="3"/>
  <c r="AZ429" i="3"/>
  <c r="AZ403" i="3"/>
  <c r="AB33" i="39"/>
  <c r="U33" i="39"/>
  <c r="AA45" i="21"/>
  <c r="S45" i="21"/>
  <c r="AB23" i="36"/>
  <c r="U23" i="36"/>
  <c r="AC29" i="34"/>
  <c r="W29" i="34"/>
  <c r="W30" i="33"/>
  <c r="AC30" i="33"/>
  <c r="S31" i="21"/>
  <c r="AA31" i="21"/>
  <c r="AC34" i="40"/>
  <c r="W34" i="40"/>
  <c r="AA32" i="36"/>
  <c r="S32" i="36"/>
  <c r="AA13" i="36"/>
  <c r="S13" i="36"/>
  <c r="W32" i="34"/>
  <c r="AC32" i="34"/>
  <c r="S45" i="33"/>
  <c r="AA45" i="33"/>
  <c r="W28" i="34"/>
  <c r="AC28" i="34"/>
  <c r="U13" i="21"/>
  <c r="AB13" i="21"/>
  <c r="AC44" i="21"/>
  <c r="W44" i="21"/>
  <c r="AZ496" i="3"/>
  <c r="AB46" i="39"/>
  <c r="U46" i="39"/>
  <c r="U44" i="21"/>
  <c r="AB44" i="21"/>
  <c r="AZ502" i="3"/>
  <c r="C44" i="71"/>
  <c r="D43" i="71"/>
  <c r="T32" i="71"/>
  <c r="D32" i="71"/>
  <c r="AZ154" i="3"/>
  <c r="AZ150" i="3"/>
  <c r="AZ130" i="3"/>
  <c r="AZ244" i="3"/>
  <c r="AZ239" i="3"/>
  <c r="AZ251" i="3"/>
  <c r="AZ247" i="3"/>
  <c r="AZ229" i="3"/>
  <c r="AZ422" i="3"/>
  <c r="AZ137" i="3"/>
  <c r="AZ273" i="3"/>
  <c r="AZ428" i="3"/>
  <c r="AZ401" i="3"/>
  <c r="AZ418" i="3"/>
  <c r="U23" i="35"/>
  <c r="AB23" i="35"/>
  <c r="AB9" i="34"/>
  <c r="U9" i="34"/>
  <c r="AC31" i="33"/>
  <c r="W31" i="33"/>
  <c r="W12" i="34"/>
  <c r="AC12" i="34"/>
  <c r="AA24" i="35"/>
  <c r="S24" i="35"/>
  <c r="U45" i="34"/>
  <c r="AB45" i="34"/>
  <c r="AC46" i="33"/>
  <c r="W46" i="33"/>
  <c r="S47" i="39"/>
  <c r="AA47" i="39"/>
  <c r="AB25" i="36"/>
  <c r="U25" i="36"/>
  <c r="AC9" i="36"/>
  <c r="W9" i="36"/>
  <c r="U12" i="35"/>
  <c r="AB12" i="35"/>
  <c r="U14" i="34"/>
  <c r="AB14" i="34"/>
  <c r="AA28" i="34"/>
  <c r="S28" i="34"/>
  <c r="AZ585" i="3"/>
  <c r="S16" i="40"/>
  <c r="AA16" i="40"/>
  <c r="AB37" i="39"/>
  <c r="U37" i="39"/>
  <c r="AZ501" i="3"/>
  <c r="AZ529"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F7" i="37"/>
  <c r="M17" i="67"/>
  <c r="P28" i="43"/>
  <c r="B68" i="40" s="1"/>
  <c r="P25" i="43"/>
  <c r="P29" i="43"/>
  <c r="P27" i="43"/>
  <c r="B72" i="39" s="1"/>
  <c r="M11" i="67"/>
  <c r="J10" i="67" s="1"/>
  <c r="F11" i="15"/>
  <c r="M11" i="15"/>
  <c r="J10" i="15" s="1"/>
  <c r="F11" i="67"/>
  <c r="Q61" i="67"/>
  <c r="Q74" i="67"/>
  <c r="Q85" i="15"/>
  <c r="Q70" i="15"/>
  <c r="AE11" i="1"/>
  <c r="AE12" i="1"/>
  <c r="AE10" i="1"/>
  <c r="AE9" i="1"/>
  <c r="AE8" i="1"/>
  <c r="F33" i="12"/>
  <c r="C18" i="12"/>
  <c r="G1" i="73"/>
  <c r="C38" i="81"/>
  <c r="F27" i="68"/>
  <c r="AC7" i="36" l="1"/>
  <c r="V36" i="36" s="1"/>
  <c r="I36" i="36" s="1"/>
  <c r="G16" i="1"/>
  <c r="AB7" i="36"/>
  <c r="T36" i="36" s="1"/>
  <c r="G36" i="36" s="1"/>
  <c r="E27" i="6"/>
  <c r="K26" i="6" s="1"/>
  <c r="M26" i="6" s="1"/>
  <c r="I26" i="6" s="1"/>
  <c r="S26" i="6" s="1"/>
  <c r="J5" i="67"/>
  <c r="AC6" i="3"/>
  <c r="E16" i="6"/>
  <c r="E58" i="40"/>
  <c r="D56" i="71"/>
  <c r="T56" i="71"/>
  <c r="R36" i="36"/>
  <c r="T44" i="71"/>
  <c r="D44" i="71"/>
  <c r="T36" i="71"/>
  <c r="D36" i="71"/>
  <c r="T40" i="71"/>
  <c r="D40"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AE6" i="1"/>
  <c r="M29" i="81"/>
  <c r="F29" i="81"/>
  <c r="F41" i="67"/>
  <c r="M27" i="67"/>
  <c r="AA12" i="40" l="1"/>
  <c r="R50" i="34"/>
  <c r="D3" i="33"/>
  <c r="E6" i="6"/>
  <c r="D23" i="83" s="1"/>
  <c r="D24" i="83" s="1"/>
  <c r="C24" i="83" s="1"/>
  <c r="L18" i="9"/>
  <c r="D3" i="21"/>
  <c r="D19" i="11"/>
  <c r="C19" i="11" s="1"/>
  <c r="E6" i="3"/>
  <c r="W12" i="40"/>
  <c r="J6" i="81"/>
  <c r="J16" i="81" s="1"/>
  <c r="C57" i="15"/>
  <c r="C26" i="15"/>
  <c r="D16" i="80"/>
  <c r="C16"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6" i="81"/>
  <c r="C39" i="81"/>
  <c r="C17" i="67"/>
  <c r="C14" i="67"/>
  <c r="D16" i="68"/>
  <c r="F29" i="15"/>
  <c r="C39" i="15"/>
  <c r="C7" i="68" l="1"/>
  <c r="C8" i="68" s="1"/>
  <c r="C6" i="68" s="1"/>
  <c r="C23" i="83"/>
  <c r="F81" i="15"/>
  <c r="E54" i="34"/>
  <c r="F54" i="34" s="1"/>
  <c r="C30" i="43"/>
  <c r="D17" i="80"/>
  <c r="C17" i="80"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4" i="68" l="1"/>
  <c r="H15" i="68"/>
  <c r="B29" i="1" s="1"/>
  <c r="C18" i="80"/>
  <c r="C44" i="80" s="1"/>
  <c r="D31" i="6"/>
  <c r="G18" i="80"/>
  <c r="G28" i="80"/>
  <c r="G18" i="68"/>
  <c r="C12" i="80"/>
  <c r="C43" i="80" s="1"/>
  <c r="C40" i="80" s="1"/>
  <c r="C47" i="80" s="1"/>
  <c r="C53" i="80" s="1"/>
  <c r="C52"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21" i="83" l="1"/>
  <c r="C20" i="83" s="1"/>
  <c r="C14" i="80"/>
  <c r="C13" i="80" s="1"/>
  <c r="C20" i="12"/>
  <c r="C54" i="12" s="1"/>
  <c r="C43" i="68"/>
  <c r="C11" i="68"/>
  <c r="C42" i="68" s="1"/>
  <c r="C9" i="80"/>
  <c r="C21" i="80" s="1"/>
  <c r="C28" i="80" s="1"/>
  <c r="C27" i="80" s="1"/>
  <c r="C50" i="80"/>
  <c r="C49" i="80" s="1"/>
  <c r="C51" i="12"/>
  <c r="C41" i="68"/>
  <c r="C20" i="68"/>
  <c r="C46" i="68" s="1"/>
  <c r="C19" i="68"/>
  <c r="C45" i="68" s="1"/>
  <c r="C45" i="81"/>
  <c r="C44" i="81" s="1"/>
  <c r="C26" i="82"/>
  <c r="C25" i="82" s="1"/>
  <c r="C28" i="82"/>
  <c r="C61" i="12"/>
  <c r="C60"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49" i="12" s="1"/>
  <c r="C30" i="83"/>
  <c r="C29" i="83"/>
  <c r="C25" i="80"/>
  <c r="C23" i="80" s="1"/>
  <c r="C56" i="80"/>
  <c r="C57" i="80" s="1"/>
  <c r="C31" i="80" s="1"/>
  <c r="C9" i="68"/>
  <c r="C21" i="68" s="1"/>
  <c r="C25" i="68" s="1"/>
  <c r="C23" i="68"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M21" i="81"/>
  <c r="M21" i="15"/>
  <c r="M21" i="67"/>
  <c r="F21" i="81"/>
  <c r="C15" i="12" l="1"/>
  <c r="C27" i="12" s="1"/>
  <c r="C59" i="12" s="1"/>
  <c r="C31" i="83"/>
  <c r="C32" i="83" s="1"/>
  <c r="C33" i="83" s="1"/>
  <c r="C34" i="83" s="1"/>
  <c r="B2" i="83" s="1"/>
  <c r="B5" i="83" s="1"/>
  <c r="C5" i="80"/>
  <c r="C32" i="80" s="1"/>
  <c r="C33" i="80" s="1"/>
  <c r="D3" i="80" s="1"/>
  <c r="B2"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5" i="12" l="1"/>
  <c r="C33" i="12" s="1"/>
  <c r="C31" i="12"/>
  <c r="C29" i="12" s="1"/>
  <c r="C63" i="12" s="1"/>
  <c r="C48" i="12" s="1"/>
  <c r="B3" i="80"/>
  <c r="B4" i="83"/>
  <c r="B3" i="83"/>
  <c r="C64" i="80"/>
  <c r="C63" i="80" s="1"/>
  <c r="F25" i="81"/>
  <c r="C87" i="81"/>
  <c r="J36" i="81"/>
  <c r="J37" i="81" s="1"/>
  <c r="J22" i="81"/>
  <c r="C59" i="80"/>
  <c r="B5" i="82"/>
  <c r="B3" i="82"/>
  <c r="B4" i="82"/>
  <c r="Q81" i="81"/>
  <c r="G43" i="35"/>
  <c r="H43" i="35" s="1"/>
  <c r="Q57" i="81"/>
  <c r="C52" i="68"/>
  <c r="C51" i="15"/>
  <c r="J19" i="15" s="1"/>
  <c r="I53" i="21"/>
  <c r="J53" i="21" s="1"/>
  <c r="C64" i="12"/>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6" i="12" l="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5"/>
  <c r="F2" i="36"/>
  <c r="F2" i="34"/>
  <c r="B3" i="68"/>
  <c r="L60" i="81"/>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2" i="1"/>
  <c r="AO11" i="1"/>
  <c r="AO10" i="1"/>
  <c r="C19" i="9"/>
  <c r="C102" i="9" l="1"/>
  <c r="B3" i="34"/>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G22" i="9" s="1"/>
  <c r="B3" i="40"/>
  <c r="B4" i="40"/>
  <c r="B5" i="40"/>
  <c r="C95" i="15"/>
  <c r="C94" i="15" s="1"/>
  <c r="AO9" i="1"/>
  <c r="AO6" i="1"/>
  <c r="AO8" i="1"/>
  <c r="B9" i="70" l="1"/>
  <c r="B8" i="70"/>
  <c r="B6" i="70"/>
  <c r="B3" i="15"/>
  <c r="D20" i="9"/>
  <c r="D103" i="9" l="1"/>
  <c r="G20" i="9"/>
  <c r="C32" i="9" s="1"/>
  <c r="B2" i="70"/>
  <c r="B3" i="70" s="1"/>
  <c r="N119" i="9" l="1"/>
  <c r="I118" i="9" s="1"/>
  <c r="D14" i="74" s="1"/>
  <c r="N117" i="9"/>
  <c r="H118" i="9" s="1"/>
  <c r="E14" i="74" s="1"/>
  <c r="G14" i="74" s="1"/>
  <c r="B6" i="74" s="1"/>
  <c r="D35" i="9"/>
  <c r="C35" i="9" l="1"/>
  <c r="C34" i="9" s="1"/>
  <c r="C6" i="74"/>
  <c r="D6" i="74"/>
  <c r="F14" i="74"/>
  <c r="B5" i="74"/>
  <c r="M117" i="9"/>
  <c r="M119" i="9"/>
  <c r="I4" i="52"/>
  <c r="H102" i="9"/>
  <c r="D7" i="53" s="1"/>
  <c r="B21" i="72" s="1"/>
  <c r="C105" i="9"/>
  <c r="H119" i="9"/>
  <c r="H5" i="52" s="1"/>
  <c r="C104" i="9"/>
  <c r="H101" i="9"/>
  <c r="H4" i="52"/>
  <c r="D34" i="9"/>
  <c r="L119" i="9" l="1"/>
  <c r="L117" i="9"/>
  <c r="G118" i="9"/>
  <c r="F118" i="9" s="1"/>
  <c r="E118" i="9"/>
  <c r="D5" i="74"/>
  <c r="C5" i="74"/>
  <c r="D5" i="53"/>
  <c r="D45" i="9"/>
  <c r="M48" i="9"/>
  <c r="H107" i="9"/>
  <c r="H108" i="9" l="1"/>
  <c r="D15" i="53" s="1"/>
  <c r="B31" i="72" s="1"/>
  <c r="M49" i="9"/>
  <c r="D13" i="53"/>
  <c r="H122" i="9"/>
  <c r="D56" i="9"/>
  <c r="H65" i="9"/>
  <c r="H64" i="9" s="1"/>
  <c r="H63" i="9" s="1"/>
  <c r="C85" i="9"/>
  <c r="C64" i="9"/>
  <c r="C63" i="9" s="1"/>
  <c r="C67" i="9" s="1"/>
  <c r="D55" i="9"/>
  <c r="M53" i="9" s="1"/>
  <c r="C72" i="9"/>
  <c r="D52" i="9"/>
  <c r="D6" i="53"/>
  <c r="B22" i="72" s="1"/>
  <c r="B20" i="72"/>
  <c r="D119" i="9"/>
  <c r="D5" i="52" s="1"/>
  <c r="B49" i="72" s="1"/>
  <c r="D4" i="52"/>
  <c r="B47" i="72" s="1"/>
  <c r="F119" i="9"/>
  <c r="F5" i="52" s="1"/>
  <c r="B53" i="72" s="1"/>
  <c r="F4" i="52"/>
  <c r="B51" i="72" s="1"/>
  <c r="C68" i="9" l="1"/>
  <c r="D59" i="9"/>
  <c r="M55" i="9" s="1"/>
  <c r="D8" i="52"/>
  <c r="H123" i="9"/>
  <c r="D9" i="52" s="1"/>
  <c r="C93" i="9"/>
  <c r="C86" i="9" s="1"/>
  <c r="C95" i="9" s="1"/>
  <c r="D14" i="53"/>
  <c r="B32" i="72" s="1"/>
  <c r="B30" i="72"/>
  <c r="C78" i="9"/>
  <c r="C73" i="9" s="1"/>
  <c r="C79" i="9" s="1"/>
  <c r="D53" i="9"/>
  <c r="D54" i="9"/>
  <c r="L65" i="9"/>
  <c r="M65" i="9" s="1"/>
  <c r="L66" i="9"/>
  <c r="M66" i="9" s="1"/>
  <c r="L63" i="9"/>
  <c r="M63" i="9" s="1"/>
  <c r="L64" i="9"/>
  <c r="M64" i="9" s="1"/>
  <c r="L67" i="9"/>
  <c r="M67" i="9" s="1"/>
  <c r="L68" i="9"/>
  <c r="M68" i="9" s="1"/>
  <c r="G4" i="52"/>
  <c r="B52" i="72" s="1"/>
  <c r="D118" i="9"/>
  <c r="E4" i="52" s="1"/>
  <c r="B48" i="72" s="1"/>
  <c r="M69" i="9" l="1"/>
  <c r="N69" i="9" s="1"/>
  <c r="C80" i="9"/>
  <c r="E80" i="9" s="1"/>
  <c r="E81" i="9" s="1"/>
  <c r="C96" i="9"/>
  <c r="E96" i="9" s="1"/>
  <c r="E97" i="9" s="1"/>
  <c r="C81" i="9" l="1"/>
  <c r="C97" i="9"/>
  <c r="D58" i="9" s="1"/>
  <c r="M54" i="9" s="1"/>
  <c r="N57" i="9" s="1"/>
  <c r="N58" i="9" s="1"/>
  <c r="P57" i="9" l="1"/>
  <c r="N59" i="9"/>
  <c r="H111" i="9" s="1"/>
  <c r="N60" i="9"/>
  <c r="N61" i="9" l="1"/>
  <c r="H112" i="9" s="1"/>
  <c r="D21" i="53" s="1"/>
  <c r="B39" i="72" s="1"/>
  <c r="H126" i="9"/>
  <c r="D19" i="53"/>
  <c r="C8" i="74" l="1"/>
  <c r="D20" i="53"/>
  <c r="B40" i="72" s="1"/>
  <c r="B38" i="72"/>
  <c r="D12" i="52"/>
  <c r="H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<sst xmlns="http://schemas.openxmlformats.org/spreadsheetml/2006/main" count="9498" uniqueCount="4355">
  <si>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</si>
  <si>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</si>
  <si>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</si>
  <si>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</si>
  <si>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</si>
  <si>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</si>
  <si>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</si>
  <si>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</si>
  <si>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</si>
  <si>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</si>
  <si>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</si>
  <si>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</si>
  <si>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</si>
  <si>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</si>
  <si>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</si>
  <si>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</si>
  <si>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</si>
  <si>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</si>
  <si>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</si>
  <si>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</si>
  <si>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</si>
  <si>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</si>
  <si>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</si>
  <si>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</si>
  <si>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</si>
  <si>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</si>
  <si>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</si>
  <si>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</si>
  <si>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</si>
  <si>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</si>
  <si>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</si>
  <si>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</si>
  <si>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</si>
  <si>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</si>
  <si>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</si>
  <si>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</si>
  <si>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</si>
  <si>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</si>
  <si>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</si>
  <si>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</si>
  <si>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</si>
  <si>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</si>
  <si>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</si>
  <si>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</si>
  <si>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</si>
  <si>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</si>
  <si>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</si>
  <si>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</si>
  <si>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</si>
  <si>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</si>
  <si>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</si>
  <si>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</si>
  <si>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</si>
  <si>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</si>
  <si>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</si>
  <si>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</si>
  <si>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</si>
  <si>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</si>
  <si>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</si>
  <si>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</si>
  <si>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</si>
  <si>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</si>
  <si>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</si>
  <si>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</si>
  <si>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</si>
  <si>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</si>
  <si>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</si>
  <si>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</si>
  <si>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</si>
  <si>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</si>
  <si>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</si>
  <si>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</si>
  <si>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</si>
  <si>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</si>
  <si>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</si>
  <si>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</si>
  <si>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</si>
  <si>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</si>
  <si>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</si>
  <si>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</si>
  <si>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</si>
  <si>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</si>
  <si>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</si>
  <si>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</si>
  <si>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</si>
  <si>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</si>
  <si>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</si>
  <si>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</si>
  <si>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</si>
  <si>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</si>
  <si>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</si>
  <si>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</si>
  <si>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</si>
  <si>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</si>
  <si>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</si>
  <si>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</si>
  <si>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</si>
  <si>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</si>
  <si>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</si>
  <si>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</si>
  <si>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</si>
  <si>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</si>
  <si>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</si>
  <si>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</si>
  <si>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</si>
  <si>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</si>
  <si>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</si>
  <si>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</si>
  <si>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</si>
  <si>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</si>
  <si>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</si>
  <si>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</si>
  <si>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</si>
  <si>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</si>
  <si>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</si>
  <si>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</si>
  <si>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</si>
  <si>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</si>
  <si>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</si>
  <si>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</si>
  <si>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</si>
  <si>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</si>
  <si>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</si>
  <si>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</si>
  <si>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</si>
  <si>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</si>
  <si>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</si>
  <si>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</si>
  <si>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</si>
  <si>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</si>
  <si>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</si>
  <si>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</si>
  <si>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</si>
  <si>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</si>
  <si>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</si>
  <si>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</si>
  <si>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</si>
  <si>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</si>
  <si>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</si>
  <si>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</si>
  <si>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</si>
  <si>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</si>
  <si>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</si>
  <si>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</si>
  <si>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</si>
  <si>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</si>
  <si>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</si>
  <si>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</si>
  <si>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</si>
  <si>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</si>
  <si>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</si>
  <si>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</si>
  <si>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</si>
  <si>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</si>
  <si>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</si>
  <si>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</si>
  <si>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</si>
  <si>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</si>
  <si>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</si>
  <si>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</si>
  <si>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</si>
  <si>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</si>
  <si>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</si>
  <si>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</si>
  <si>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</si>
  <si>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</si>
  <si>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</si>
  <si>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</si>
  <si>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</si>
  <si>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</si>
  <si>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</si>
  <si>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</si>
  <si>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</si>
  <si>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</si>
  <si>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</si>
  <si>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</si>
  <si>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</si>
  <si>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</si>
  <si>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</si>
  <si>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</si>
  <si>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</si>
  <si>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</si>
  <si>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</si>
  <si>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</si>
  <si>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</si>
  <si>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</si>
  <si>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</si>
  <si>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</si>
  <si>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</si>
  <si>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</si>
  <si>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</si>
  <si>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</si>
  <si>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</si>
  <si>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</si>
  <si>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</si>
  <si>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</si>
  <si>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</si>
  <si>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</si>
  <si>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</si>
  <si>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</si>
  <si>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</si>
  <si>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</si>
  <si>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</si>
  <si>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</si>
  <si>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</si>
  <si>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</si>
  <si>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</si>
  <si>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</si>
  <si>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</si>
  <si>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</si>
  <si>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</si>
  <si>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</si>
  <si>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</si>
  <si>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</si>
  <si>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</si>
  <si>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</si>
  <si>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</si>
  <si>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</si>
  <si>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</si>
  <si>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</si>
  <si>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</si>
  <si>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</si>
  <si>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</si>
  <si>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</si>
  <si>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</si>
  <si>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</si>
  <si>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</si>
  <si>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</si>
  <si>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</si>
  <si>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</si>
  <si>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</si>
  <si>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</si>
  <si>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</si>
  <si>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</si>
  <si>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</si>
  <si>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</si>
  <si>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</si>
  <si>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</si>
  <si>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</si>
  <si>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</si>
  <si>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</si>
  <si>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</si>
  <si>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</si>
  <si>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</si>
  <si>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</si>
  <si>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</si>
  <si>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</si>
  <si>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</si>
  <si>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</si>
  <si>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</si>
  <si>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</si>
  <si>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</si>
  <si>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</si>
  <si>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</si>
  <si>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</si>
  <si>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</si>
  <si>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</si>
  <si>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</si>
  <si>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</si>
  <si>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</si>
  <si>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</si>
  <si>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</si>
  <si>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</si>
  <si>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</si>
  <si>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</si>
  <si>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</si>
  <si>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</si>
  <si>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</si>
  <si>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</si>
  <si>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</si>
  <si>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</si>
  <si>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</si>
  <si>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</si>
  <si>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</si>
  <si>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</si>
  <si>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</si>
  <si>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</si>
  <si>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</si>
  <si>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</si>
  <si>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</si>
  <si>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</si>
  <si>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</si>
  <si>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</si>
  <si>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</si>
  <si>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</si>
  <si>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</si>
  <si>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</si>
  <si>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</si>
  <si>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</si>
  <si>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</si>
  <si>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</si>
  <si>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</si>
  <si>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</si>
  <si>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</si>
  <si>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</si>
  <si>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</si>
  <si>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</si>
  <si>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</si>
  <si>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</si>
  <si>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</si>
  <si>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</si>
  <si>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</si>
  <si>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</si>
  <si>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</si>
  <si>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</si>
  <si>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</si>
  <si>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</si>
  <si>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</si>
  <si>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</si>
  <si>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</si>
  <si>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</si>
  <si>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</si>
  <si>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</si>
  <si>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</si>
  <si>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</si>
  <si>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</si>
  <si>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</si>
  <si>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</si>
  <si>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</si>
  <si>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</si>
  <si>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</si>
  <si>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</si>
  <si>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</si>
  <si>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</si>
  <si>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</si>
  <si>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</si>
  <si>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</si>
  <si>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</si>
  <si>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</si>
  <si>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</si>
  <si>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</si>
  <si>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</si>
  <si>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</si>
  <si>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</si>
  <si>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</si>
  <si>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</si>
  <si>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</si>
  <si>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</si>
  <si>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</si>
  <si>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</si>
  <si>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</si>
  <si>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</si>
  <si>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</si>
  <si>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</si>
  <si>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</si>
  <si>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</si>
  <si>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</si>
  <si>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</si>
  <si>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</si>
  <si>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</si>
  <si>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</si>
  <si>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</si>
  <si>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</si>
  <si>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</si>
  <si>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</si>
  <si>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</si>
  <si>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</si>
  <si>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</si>
  <si>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</si>
  <si>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</si>
  <si>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</si>
  <si>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</si>
  <si>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</si>
  <si>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</si>
  <si>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</si>
  <si>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</si>
  <si>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</si>
  <si>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</si>
  <si>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</si>
  <si>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</si>
  <si>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</si>
  <si>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</si>
  <si>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</si>
  <si>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</si>
  <si>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</si>
  <si>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</si>
  <si>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</si>
  <si>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</si>
  <si>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</si>
  <si>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</si>
  <si>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</si>
  <si>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</si>
  <si>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</si>
  <si>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</si>
  <si>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</si>
  <si>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</si>
  <si>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</si>
  <si>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</si>
  <si>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</si>
  <si>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</si>
  <si>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</si>
  <si>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</si>
  <si>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</si>
  <si>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</si>
  <si>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</si>
  <si>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</si>
  <si>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</si>
  <si>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</si>
  <si>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</si>
  <si>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</si>
  <si>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</si>
  <si>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</si>
  <si>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</si>
  <si>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</si>
  <si>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</si>
  <si>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</si>
  <si>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</si>
  <si>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</si>
  <si>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</si>
  <si>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</si>
  <si>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</si>
  <si>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</si>
  <si>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</si>
  <si>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</si>
  <si>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</si>
  <si>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</si>
  <si>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</si>
  <si>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</si>
  <si>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</si>
  <si>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</si>
  <si>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</si>
  <si>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</si>
  <si>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</si>
  <si>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</si>
  <si>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</si>
  <si>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</si>
  <si>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</si>
  <si>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</si>
  <si>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</si>
  <si>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</si>
  <si>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</si>
  <si>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</si>
  <si>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</si>
  <si>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</si>
  <si>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</si>
  <si>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</si>
  <si>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</si>
  <si>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</si>
  <si>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</si>
  <si>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</si>
  <si>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</si>
  <si>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</si>
  <si>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</si>
  <si>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</si>
  <si>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</si>
  <si>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</si>
  <si>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</si>
  <si>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</si>
  <si>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</si>
  <si>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</si>
  <si>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</si>
  <si>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</si>
  <si>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</si>
  <si>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</si>
  <si>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</si>
  <si>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</si>
  <si>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</si>
  <si>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</si>
  <si>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</si>
  <si>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</si>
  <si>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</si>
  <si>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</si>
  <si>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</si>
  <si>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</si>
  <si>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</si>
  <si>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</si>
  <si>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</si>
  <si>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</si>
  <si>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</si>
  <si>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</si>
  <si>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</si>
  <si>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</si>
  <si>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</si>
  <si>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</si>
  <si>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</si>
  <si>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</si>
  <si>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</si>
  <si>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</si>
  <si>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</si>
  <si>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</si>
  <si>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</si>
  <si>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</si>
  <si>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</si>
  <si>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</si>
  <si>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</si>
  <si>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</si>
  <si>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</si>
  <si>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</si>
  <si>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</si>
  <si>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</si>
  <si>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</si>
  <si>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</si>
  <si>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</si>
  <si>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</si>
  <si>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</si>
  <si>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</si>
  <si>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</si>
  <si>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</si>
  <si>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</si>
  <si>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</si>
  <si>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</si>
  <si>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</si>
  <si>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</si>
  <si>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</si>
  <si>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</si>
  <si>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</si>
  <si>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</si>
  <si>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</si>
  <si>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</si>
  <si>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</si>
  <si>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</si>
  <si>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</si>
  <si>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</si>
  <si>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</si>
  <si>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</si>
  <si>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</si>
  <si>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</si>
  <si>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</si>
  <si>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</si>
  <si>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</si>
  <si>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</si>
  <si>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</si>
  <si>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</si>
  <si>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</si>
  <si>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</si>
  <si>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</si>
  <si>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</si>
  <si>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</si>
  <si>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</si>
  <si>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</si>
  <si>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</si>
  <si>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</si>
  <si>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</si>
  <si>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</si>
  <si>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</si>
  <si>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</si>
  <si>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</si>
  <si>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</si>
  <si>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</si>
  <si>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</si>
  <si>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</si>
  <si>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</si>
  <si>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</si>
  <si>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</si>
  <si>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</si>
  <si>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</si>
  <si>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</si>
  <si>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</si>
  <si>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</si>
  <si>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</si>
  <si>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</si>
  <si>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</si>
  <si>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</si>
  <si>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</si>
  <si>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</si>
  <si>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</si>
  <si>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</si>
  <si>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</si>
  <si>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</si>
  <si>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</si>
  <si>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</si>
  <si>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</si>
  <si>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</si>
  <si>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</si>
  <si>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</si>
  <si>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</si>
  <si>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</si>
  <si>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</si>
  <si>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</si>
  <si>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</si>
  <si>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</si>
  <si>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</si>
  <si>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</si>
  <si>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</si>
  <si>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</si>
  <si>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</si>
  <si>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</si>
  <si>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</si>
  <si>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</si>
  <si>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</si>
  <si>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</si>
  <si>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</si>
  <si>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</si>
  <si>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</si>
  <si>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</si>
  <si>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</si>
  <si>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</si>
  <si>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</si>
  <si>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</si>
  <si>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</si>
  <si>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</si>
  <si>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</si>
  <si>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</si>
  <si>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</si>
  <si>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</si>
  <si>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</si>
  <si>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</si>
  <si>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</si>
  <si>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</si>
  <si>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</si>
  <si>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</si>
  <si>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</si>
  <si>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</si>
  <si>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</si>
  <si>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</si>
  <si>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</si>
  <si>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</si>
  <si>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</si>
  <si>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</si>
  <si>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</si>
  <si>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</si>
  <si>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</si>
  <si>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</si>
  <si>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</si>
  <si>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</si>
  <si>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</si>
  <si>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</si>
  <si>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</si>
  <si>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</si>
  <si>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</si>
  <si>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</si>
  <si>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</si>
  <si>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</si>
  <si>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</si>
  <si>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</si>
  <si>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</si>
  <si>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</si>
  <si>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</si>
  <si>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</si>
  <si>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</si>
  <si>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</si>
  <si>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</si>
  <si>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</si>
  <si>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</si>
  <si>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</si>
  <si>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</si>
  <si>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</si>
  <si>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</si>
  <si>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</si>
  <si>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</si>
  <si>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</si>
  <si>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</si>
  <si>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</si>
  <si>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</si>
  <si>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</si>
  <si>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</si>
  <si>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</si>
  <si>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</si>
  <si>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</si>
  <si>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</si>
  <si>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</si>
  <si>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</si>
  <si>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</si>
  <si>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</si>
  <si>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</si>
  <si>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</si>
  <si>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</si>
  <si>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</si>
  <si>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</si>
  <si>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</si>
  <si>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</si>
  <si>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</si>
  <si>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</si>
  <si>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</si>
  <si>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</si>
  <si>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</si>
  <si>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</si>
  <si>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</si>
  <si>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</si>
  <si>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</si>
  <si>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</si>
  <si>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</si>
  <si>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</si>
  <si>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</si>
  <si>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</si>
  <si>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</si>
  <si>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</si>
  <si>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</si>
  <si>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</si>
  <si>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</si>
  <si>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</si>
  <si>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</si>
  <si>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</si>
  <si>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</si>
  <si>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</si>
  <si>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</si>
  <si>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</si>
  <si>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</si>
  <si>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</si>
  <si>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</si>
  <si>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</si>
  <si>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</si>
  <si>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</si>
  <si>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</si>
  <si>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</si>
  <si>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</si>
  <si>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</si>
  <si>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</si>
  <si>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</si>
  <si>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</si>
  <si>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</si>
  <si>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</si>
  <si>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</si>
  <si>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</si>
  <si>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</si>
  <si>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</si>
  <si>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</si>
  <si>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</si>
  <si>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</si>
  <si>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</si>
  <si>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</si>
  <si>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</si>
  <si>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</si>
  <si>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</si>
  <si>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</si>
  <si>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</si>
  <si>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</si>
  <si>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</si>
  <si>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</si>
  <si>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</si>
  <si>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</si>
  <si>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</si>
  <si>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</si>
  <si>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</si>
  <si>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</si>
  <si>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</si>
  <si>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</si>
  <si>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</si>
  <si>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</si>
  <si>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</si>
  <si>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</si>
  <si>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</si>
  <si>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</si>
  <si>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</si>
  <si>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</si>
  <si>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</si>
  <si>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</si>
  <si>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</si>
  <si>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</si>
  <si>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</si>
  <si>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</si>
  <si>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</si>
  <si>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</si>
  <si>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</si>
  <si>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</si>
  <si>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</si>
  <si>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</si>
  <si>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</si>
  <si>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</si>
  <si>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</si>
  <si>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</si>
  <si>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</si>
  <si>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</si>
  <si>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</si>
  <si>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</si>
  <si>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</si>
  <si>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</si>
  <si>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</si>
  <si>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</si>
  <si>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</si>
  <si>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</si>
  <si>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</si>
  <si>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</si>
  <si>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</si>
  <si>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</si>
  <si>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</si>
  <si>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</si>
  <si>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</si>
  <si>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</si>
  <si>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</si>
  <si>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</si>
  <si>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</si>
  <si>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</si>
  <si>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</si>
  <si>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</si>
  <si>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</si>
  <si>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</si>
  <si>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</si>
  <si>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</si>
  <si>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</si>
  <si>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</si>
  <si>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</si>
  <si>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</si>
  <si>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</si>
  <si>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</si>
  <si>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</si>
  <si>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</si>
  <si>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</si>
  <si>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</si>
  <si>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</si>
  <si>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</si>
  <si>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</si>
  <si>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</si>
  <si>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</si>
  <si>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</si>
  <si>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</si>
  <si>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</si>
  <si>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</si>
  <si>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</si>
  <si>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</si>
  <si>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</si>
  <si>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</si>
  <si>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</si>
  <si>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</si>
  <si>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</si>
  <si>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</si>
  <si>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</si>
  <si>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</si>
  <si>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</si>
  <si>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</si>
  <si>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</si>
  <si>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</si>
  <si>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</si>
  <si>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</si>
  <si>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</si>
  <si>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</si>
  <si>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</si>
  <si>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</si>
  <si>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</si>
  <si>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</si>
  <si>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</si>
  <si>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</si>
  <si>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</si>
  <si>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</si>
  <si>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</si>
  <si>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</si>
  <si>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</si>
  <si>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</si>
  <si>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</si>
  <si>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</si>
  <si>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</si>
  <si>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</si>
  <si>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</si>
  <si>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</si>
  <si>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</si>
  <si>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</si>
  <si>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</si>
  <si>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</si>
  <si>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</si>
  <si>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</si>
  <si>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</si>
  <si>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</si>
  <si>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</si>
  <si>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</si>
  <si>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</si>
  <si>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</si>
  <si>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</si>
  <si>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</si>
  <si>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</si>
  <si>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</si>
  <si>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</si>
  <si>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</si>
  <si>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</si>
  <si>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</si>
  <si>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</si>
  <si>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</si>
  <si>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</si>
  <si>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</si>
  <si>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</si>
  <si>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</si>
  <si>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</si>
  <si>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</si>
  <si>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</si>
  <si>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</si>
  <si>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</si>
  <si>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</si>
  <si>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</si>
  <si>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</si>
  <si>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</si>
  <si>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</si>
  <si>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</si>
  <si>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</si>
  <si>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</si>
  <si>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</si>
  <si>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</si>
  <si>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</si>
  <si>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</si>
  <si>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</si>
  <si>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</si>
  <si>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</si>
  <si>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</si>
  <si>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</si>
  <si>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</si>
  <si>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</si>
  <si>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</si>
  <si>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</si>
  <si>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</si>
  <si>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</si>
  <si>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</si>
  <si>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</si>
  <si>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</si>
  <si>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</si>
  <si>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</si>
  <si>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</si>
  <si>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</si>
  <si>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</si>
  <si>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</si>
  <si>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</si>
  <si>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</si>
  <si>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</si>
  <si>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</si>
  <si>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</si>
  <si>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</si>
  <si>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</si>
  <si>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</si>
  <si>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</si>
  <si>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</si>
  <si>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</si>
  <si>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</si>
  <si>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</si>
  <si>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</si>
  <si>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</si>
  <si>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</si>
  <si>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</si>
  <si>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</si>
  <si>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</si>
  <si>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</si>
  <si>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</si>
  <si>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</si>
  <si>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</si>
  <si>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</si>
  <si>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</si>
  <si>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</si>
  <si>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</si>
  <si>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</si>
  <si>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</si>
  <si>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</si>
  <si>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</si>
  <si>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</si>
  <si>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</si>
  <si>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</si>
  <si>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</si>
  <si>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</si>
  <si>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</si>
  <si>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</si>
  <si>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</si>
  <si>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</si>
  <si>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</si>
  <si>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</si>
  <si>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</si>
  <si>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</si>
  <si>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</si>
  <si>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</si>
  <si>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</si>
  <si>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</si>
  <si>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</si>
  <si>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</si>
  <si>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</si>
  <si>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</si>
  <si>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</si>
  <si>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</si>
  <si>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</si>
  <si>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</si>
  <si>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</si>
  <si>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</si>
  <si>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</si>
  <si>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</si>
  <si>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</si>
  <si>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</si>
  <si>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</si>
  <si>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</si>
  <si>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</si>
  <si>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</si>
  <si>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</si>
  <si>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</si>
  <si>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</si>
  <si>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</si>
  <si>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</si>
  <si>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</si>
  <si>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</si>
  <si>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</si>
  <si>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</si>
  <si>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</si>
  <si>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</si>
  <si>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</si>
  <si>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</si>
  <si>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</si>
  <si>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</si>
  <si>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</si>
  <si>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</si>
  <si>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</si>
  <si>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</si>
  <si>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</si>
  <si>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</si>
  <si>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</si>
  <si>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</si>
  <si>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</si>
  <si>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</si>
  <si>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</si>
  <si>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</si>
  <si>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</si>
  <si>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</si>
  <si>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</si>
  <si>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</si>
  <si>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</si>
  <si>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</si>
  <si>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</si>
  <si>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</si>
  <si>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</si>
  <si>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</si>
  <si>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</si>
  <si>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</si>
  <si>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</si>
  <si>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</si>
  <si>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</si>
  <si>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</si>
  <si>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</si>
  <si>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</si>
  <si>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</si>
  <si>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</si>
  <si>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</si>
  <si>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</si>
  <si>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</si>
  <si>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</si>
  <si>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</si>
  <si>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</si>
  <si>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</si>
  <si>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</si>
  <si>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</si>
  <si>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</si>
  <si>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</si>
  <si>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</si>
  <si>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</si>
  <si>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</si>
  <si>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</si>
  <si>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</si>
  <si>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</si>
  <si>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</si>
  <si>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</si>
  <si>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</si>
  <si>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</si>
  <si>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</si>
  <si>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</si>
  <si>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</si>
  <si>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</si>
  <si>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</si>
  <si>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</si>
  <si>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</si>
  <si>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</si>
  <si>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</si>
  <si>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</si>
  <si>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</si>
  <si>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</si>
  <si>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</si>
  <si>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</si>
  <si>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</si>
  <si>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</si>
  <si>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</si>
  <si>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</si>
  <si>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</si>
  <si>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</si>
  <si>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</si>
  <si>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</si>
  <si>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</si>
  <si>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</si>
  <si>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</si>
  <si>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</si>
  <si>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</si>
  <si>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</si>
  <si>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</si>
  <si>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</si>
  <si>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</si>
  <si>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</si>
  <si>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</si>
  <si>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</si>
  <si>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</si>
  <si>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</si>
  <si>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</si>
  <si>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</si>
  <si>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</si>
  <si>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</si>
  <si>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</si>
  <si>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</si>
  <si>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</si>
  <si>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</si>
  <si>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</si>
  <si>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</si>
  <si>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</si>
  <si>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</si>
  <si>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</si>
  <si>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</si>
  <si>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</si>
  <si>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</si>
  <si>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</si>
  <si>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</si>
  <si>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</si>
  <si>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</si>
  <si>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</si>
  <si>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</si>
  <si>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</si>
  <si>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</si>
  <si>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</si>
  <si>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</si>
  <si>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</si>
  <si>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</si>
  <si>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</si>
  <si>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</si>
  <si>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</si>
  <si>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</si>
  <si>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</si>
  <si>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</si>
  <si>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</si>
  <si>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</si>
  <si>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</si>
  <si>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</si>
  <si>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</si>
  <si>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</si>
  <si>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</si>
  <si>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</si>
  <si>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</si>
  <si>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</si>
  <si>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</si>
  <si>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</si>
  <si>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</si>
  <si>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</si>
  <si>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</si>
  <si>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</si>
  <si>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</si>
  <si>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</si>
  <si>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</si>
  <si>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</si>
  <si>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</si>
  <si>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</si>
  <si>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</si>
  <si>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</si>
  <si>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</si>
  <si>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</si>
  <si>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</si>
  <si>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</si>
  <si>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</si>
  <si>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</si>
  <si>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</si>
  <si>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</si>
  <si>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</si>
  <si>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</si>
  <si>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</si>
  <si>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</si>
  <si>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</si>
  <si>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</si>
  <si>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</si>
  <si>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</si>
  <si>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</si>
  <si>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</si>
  <si>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</si>
  <si>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</si>
  <si>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</si>
  <si>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</si>
  <si>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</si>
  <si>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</si>
  <si>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</si>
  <si>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</si>
  <si>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</si>
  <si>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</si>
  <si>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</si>
  <si>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</si>
  <si>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</si>
  <si>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</si>
  <si>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</si>
  <si>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</si>
  <si>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</si>
  <si>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</si>
  <si>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</si>
  <si>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</si>
  <si>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</si>
  <si>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</si>
  <si>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</si>
  <si>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</si>
  <si>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</si>
  <si>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</si>
  <si>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</si>
  <si>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</si>
  <si>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</si>
  <si>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</si>
  <si>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</si>
  <si>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</si>
  <si>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</si>
  <si>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</si>
  <si>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</si>
  <si>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</si>
  <si>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</si>
  <si>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</si>
  <si>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</si>
  <si>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</si>
  <si>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</si>
  <si>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</si>
  <si>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</si>
  <si>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</si>
  <si>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</si>
  <si>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</si>
  <si>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</si>
  <si>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</si>
  <si>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</si>
  <si>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</si>
  <si>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</si>
  <si>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</si>
  <si>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</si>
  <si>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</si>
  <si>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</si>
  <si>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</si>
  <si>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</si>
  <si>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</si>
  <si>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</si>
  <si>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</si>
  <si>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</si>
  <si>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</si>
  <si>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</si>
  <si>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</si>
  <si>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</si>
  <si>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</si>
  <si>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</si>
  <si>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</si>
  <si>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</si>
  <si>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</si>
  <si>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</si>
  <si>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</si>
  <si>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</si>
  <si>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</si>
  <si>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</si>
  <si>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</si>
  <si>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</si>
  <si>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</si>
  <si>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</si>
  <si>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</si>
  <si>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</si>
  <si>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</si>
  <si>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</si>
  <si>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</si>
  <si>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</si>
  <si>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</si>
  <si>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</si>
  <si>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</si>
  <si>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</si>
  <si>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</si>
  <si>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</si>
  <si>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</si>
  <si>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</si>
  <si>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</si>
  <si>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</si>
  <si>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</si>
  <si>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</si>
  <si>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</si>
  <si>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</si>
  <si>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</si>
  <si>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</si>
  <si>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</si>
  <si>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</si>
  <si>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</si>
  <si>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</si>
  <si>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</si>
  <si>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</si>
  <si>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</si>
  <si>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</si>
  <si>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</si>
  <si>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</si>
  <si>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</si>
  <si>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</si>
  <si>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</si>
  <si>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</si>
  <si>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</si>
  <si>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</si>
  <si>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</si>
  <si>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</si>
  <si>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</si>
  <si>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</si>
  <si>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</si>
  <si>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</si>
  <si>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</si>
  <si>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</si>
  <si>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</si>
  <si>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</si>
  <si>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</si>
  <si>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</si>
  <si>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</si>
  <si>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</si>
  <si>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</si>
  <si>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</si>
  <si>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</si>
  <si>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</si>
  <si>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</si>
  <si>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</si>
  <si>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</si>
  <si>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</si>
  <si>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</si>
  <si>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</si>
  <si>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</si>
  <si>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</si>
  <si>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</si>
  <si>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</si>
  <si>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</si>
  <si>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</si>
  <si>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</si>
  <si>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</si>
  <si>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</si>
  <si>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</si>
  <si>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</si>
  <si>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</si>
  <si>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</si>
  <si>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</si>
  <si>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</si>
  <si>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</si>
  <si>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</si>
  <si>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</si>
  <si>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</si>
  <si>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</si>
  <si>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</si>
  <si>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</si>
  <si>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</si>
  <si>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</si>
  <si>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</si>
  <si>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</si>
  <si>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</si>
  <si>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</si>
  <si>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</si>
  <si>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</si>
  <si>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</si>
  <si>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</si>
  <si>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</si>
  <si>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</si>
  <si>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</si>
  <si>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</si>
  <si>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</si>
  <si>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</si>
  <si>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</si>
  <si>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</si>
  <si>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</si>
  <si>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</si>
  <si>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</si>
  <si>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</si>
  <si>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</si>
  <si>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</si>
  <si>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</si>
  <si>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</si>
  <si>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</si>
  <si>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</si>
  <si>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</si>
  <si>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</si>
  <si>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</si>
  <si>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</si>
  <si>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</si>
  <si>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</si>
  <si>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</si>
  <si>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</si>
  <si>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</si>
  <si>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</si>
  <si>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</si>
  <si>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</si>
  <si>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</si>
  <si>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</si>
  <si>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</si>
  <si>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</si>
  <si>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</si>
  <si>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</si>
  <si>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</si>
  <si>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</si>
  <si>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</si>
  <si>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</si>
  <si>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</si>
  <si>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</si>
  <si>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</si>
  <si>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</si>
  <si>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</si>
  <si>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</si>
  <si>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</si>
  <si>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</si>
  <si>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</si>
  <si>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</si>
  <si>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</si>
  <si>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</si>
  <si>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</si>
  <si>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</si>
  <si>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</si>
  <si>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</si>
  <si>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</si>
  <si>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</si>
  <si>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</si>
  <si>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</si>
  <si>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</si>
  <si>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</si>
  <si>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</si>
  <si>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</si>
  <si>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</si>
  <si>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</si>
  <si>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</si>
  <si>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</si>
  <si>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</si>
  <si>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</si>
  <si>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</si>
  <si>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</si>
  <si>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</si>
  <si>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</si>
  <si>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</si>
  <si>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</si>
  <si>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</si>
  <si>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</si>
  <si>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</si>
  <si>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</si>
  <si>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</si>
  <si>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</si>
  <si>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</si>
  <si>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</si>
  <si>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</si>
  <si>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</si>
  <si>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</si>
  <si>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</si>
  <si>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</si>
  <si>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</si>
  <si>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</si>
  <si>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</si>
  <si>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</si>
  <si>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</si>
  <si>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</si>
  <si>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</si>
  <si>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</si>
  <si>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</si>
  <si>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</si>
  <si>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</si>
  <si>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</si>
  <si>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</si>
  <si>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</si>
  <si>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</si>
  <si>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</si>
  <si>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</si>
  <si>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</si>
  <si>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</si>
  <si>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</si>
  <si>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</si>
  <si>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</si>
  <si>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</si>
  <si>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</si>
  <si>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</si>
  <si>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</si>
  <si>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</si>
  <si>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</si>
  <si>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</si>
  <si>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</si>
  <si>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</si>
  <si>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</si>
  <si>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</si>
  <si>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</si>
  <si>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</si>
  <si>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</si>
  <si>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</si>
  <si>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</si>
  <si>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</si>
  <si>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</si>
  <si>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</si>
  <si>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</si>
  <si>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</si>
  <si>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</si>
  <si>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</si>
  <si>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</si>
  <si>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</si>
  <si>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</si>
  <si>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</si>
  <si>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</si>
  <si>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</si>
  <si>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</si>
  <si>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</si>
  <si>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</si>
  <si>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</si>
  <si>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</si>
  <si>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</si>
  <si>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</si>
  <si>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</si>
  <si>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</si>
  <si>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</si>
  <si>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</si>
  <si>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</si>
  <si>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</si>
  <si>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</si>
  <si>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</si>
  <si>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</si>
  <si>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</si>
  <si>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</si>
  <si>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</si>
  <si>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</si>
  <si>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</si>
  <si>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</si>
  <si>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</si>
  <si>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</si>
  <si>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</si>
  <si>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</si>
  <si>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</si>
  <si>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</si>
  <si>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</si>
  <si>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</si>
  <si>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</si>
  <si>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</si>
  <si>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</si>
  <si>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</si>
  <si>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</si>
  <si>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</si>
  <si>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</si>
  <si>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</si>
  <si>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</si>
  <si>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</si>
  <si>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</si>
  <si>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</si>
  <si>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</si>
  <si>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</si>
  <si>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</si>
  <si>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</si>
  <si>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</si>
  <si>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</si>
  <si>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</si>
  <si>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</si>
  <si>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</si>
  <si>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</si>
  <si>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</si>
  <si>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</si>
  <si>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</si>
  <si>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</si>
  <si>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</si>
  <si>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</si>
  <si>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</si>
  <si>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</si>
  <si>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</si>
  <si>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</si>
  <si>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</si>
  <si>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</si>
  <si>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</si>
  <si>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</si>
  <si>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</si>
  <si>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</si>
  <si>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</si>
  <si>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</si>
  <si>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</si>
  <si>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</si>
  <si>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</si>
  <si>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</si>
  <si>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</si>
  <si>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</si>
  <si>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</si>
  <si>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</si>
  <si>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</si>
  <si>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</si>
  <si>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</si>
  <si>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</si>
  <si>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</si>
  <si>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</si>
  <si>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</si>
  <si>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</si>
  <si>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</si>
  <si>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</si>
  <si>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</si>
  <si>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</si>
  <si>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</si>
  <si>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</si>
  <si>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</si>
  <si>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</si>
  <si>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</si>
  <si>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</si>
  <si>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</si>
  <si>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</si>
  <si>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</si>
  <si>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</si>
  <si>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</si>
  <si>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</si>
  <si>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</si>
  <si>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</si>
  <si>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</si>
  <si>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</si>
  <si>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</si>
  <si>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</si>
  <si>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</si>
  <si>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</si>
  <si>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</si>
  <si>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</si>
  <si>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</si>
  <si>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</si>
  <si>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</si>
  <si>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</si>
  <si>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</si>
  <si>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</si>
  <si>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</si>
  <si>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</si>
  <si>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</si>
  <si>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</si>
  <si>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</si>
  <si>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</si>
  <si>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</si>
  <si>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</si>
  <si>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</si>
  <si>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</si>
  <si>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</si>
  <si>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</si>
  <si>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</si>
  <si>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</si>
  <si>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</si>
  <si>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</si>
  <si>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</si>
  <si>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</si>
  <si>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</si>
  <si>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</si>
  <si>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</si>
  <si>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</si>
  <si>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</si>
  <si>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</si>
  <si>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</si>
  <si>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</si>
  <si>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</si>
  <si>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</si>
  <si>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</si>
  <si>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</si>
  <si>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</si>
  <si>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</si>
  <si>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</si>
  <si>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</si>
  <si>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</si>
  <si>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</si>
  <si>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</si>
  <si>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</si>
  <si>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</si>
  <si>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</si>
  <si>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</si>
  <si>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</si>
  <si>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</si>
  <si>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</si>
  <si>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</si>
  <si>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</si>
  <si>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</si>
  <si>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</si>
  <si>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</si>
  <si>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</si>
  <si>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</si>
  <si>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</si>
  <si>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</si>
  <si>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</si>
  <si>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</si>
  <si>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</si>
  <si>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</si>
  <si>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</si>
  <si>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</si>
  <si>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</si>
  <si>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</si>
  <si>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</si>
  <si>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</si>
  <si>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</si>
  <si>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</si>
  <si>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</si>
  <si>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</si>
  <si>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</si>
  <si>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</si>
  <si>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</si>
  <si>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</si>
  <si>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</si>
  <si>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</si>
  <si>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</si>
  <si>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</si>
  <si>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</si>
  <si>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</si>
  <si>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</si>
  <si>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</si>
  <si>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</si>
  <si>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</si>
  <si>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</si>
  <si>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</si>
  <si>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</si>
  <si>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</si>
  <si>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</si>
  <si>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</si>
  <si>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</si>
  <si>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</si>
  <si>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</si>
  <si>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</si>
  <si>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</si>
  <si>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</si>
  <si>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</si>
  <si>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</si>
  <si>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</si>
  <si>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</si>
  <si>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</si>
  <si>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</si>
  <si>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</si>
  <si>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</si>
  <si>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</si>
  <si>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</si>
  <si>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</si>
  <si>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</si>
  <si>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</si>
  <si>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</si>
  <si>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</si>
  <si>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</si>
  <si>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</si>
  <si>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</si>
  <si>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</si>
  <si>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</si>
  <si>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</si>
  <si>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</si>
  <si>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</si>
  <si>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</si>
  <si>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</si>
  <si>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</si>
  <si>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</si>
  <si>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</si>
  <si>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</si>
  <si>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</si>
  <si>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</si>
  <si>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</si>
  <si>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</si>
  <si>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</si>
  <si>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</si>
  <si>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</si>
  <si>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</si>
  <si>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</si>
  <si>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</si>
  <si>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</si>
  <si>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</si>
  <si>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</si>
  <si>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</si>
  <si>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</si>
  <si>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</si>
  <si>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</si>
  <si>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</si>
  <si>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</si>
  <si>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</si>
  <si>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</si>
  <si>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</si>
  <si>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</si>
  <si>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</si>
  <si>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</si>
  <si>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</si>
  <si>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</si>
  <si>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</si>
  <si>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</si>
  <si>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</si>
  <si>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</si>
  <si>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</si>
  <si>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</si>
  <si>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</si>
  <si>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</si>
  <si>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</si>
  <si>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</si>
  <si>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</si>
  <si>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</si>
  <si>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</si>
  <si>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</si>
  <si>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</si>
  <si>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</si>
  <si>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</si>
  <si>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</si>
  <si>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</si>
  <si>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</si>
  <si>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</si>
  <si>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</si>
  <si>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</si>
  <si>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</si>
  <si>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</si>
  <si>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</si>
  <si>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</si>
  <si>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</si>
  <si>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</si>
  <si>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</si>
  <si>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</si>
  <si>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</si>
  <si>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</si>
  <si>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</si>
  <si>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</si>
  <si>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</si>
  <si>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</si>
  <si>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</si>
  <si>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</si>
  <si>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</si>
  <si>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</si>
  <si>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</si>
  <si>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</si>
  <si>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</si>
  <si>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</si>
  <si>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</si>
  <si>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</si>
  <si>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</si>
  <si>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</si>
  <si>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</si>
  <si>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</si>
  <si>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</si>
  <si>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</si>
  <si>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</si>
  <si>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</si>
  <si>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</si>
  <si>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</si>
  <si>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</si>
  <si>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</si>
  <si>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</si>
  <si>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</si>
  <si>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</si>
  <si>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</si>
  <si>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</si>
  <si>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</si>
  <si>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</si>
  <si>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</si>
  <si>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</si>
  <si>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</si>
  <si>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</si>
  <si>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</si>
  <si>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</si>
  <si>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</si>
  <si>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</si>
  <si>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</si>
  <si>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</si>
  <si>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</si>
  <si>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</si>
  <si>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</si>
  <si>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</si>
  <si>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</si>
  <si>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</si>
  <si>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</si>
  <si>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</si>
  <si>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</si>
  <si>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</si>
  <si>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</si>
  <si>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</si>
  <si>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</si>
  <si>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</si>
  <si>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</si>
  <si>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</si>
  <si>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</si>
  <si>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</si>
  <si>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</si>
  <si>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</si>
  <si>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</si>
  <si>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</si>
  <si>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</si>
  <si>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</si>
  <si>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</si>
  <si>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</si>
  <si>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</si>
  <si>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</si>
  <si>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</si>
  <si>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</si>
  <si>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</si>
  <si>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</si>
  <si>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</si>
  <si>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</si>
  <si>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</si>
  <si>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</si>
  <si>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</si>
  <si>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</si>
  <si>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</si>
  <si>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</si>
  <si>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</si>
  <si>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</si>
  <si>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</si>
  <si>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</si>
  <si>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</si>
  <si>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</si>
  <si>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</si>
  <si>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</si>
  <si>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</si>
  <si>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</si>
  <si>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</si>
  <si>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</si>
  <si>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</si>
  <si>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</si>
  <si>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</si>
  <si>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</si>
  <si>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</si>
  <si>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</si>
  <si>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</si>
  <si>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</si>
  <si>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</si>
  <si>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</si>
  <si>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</si>
  <si>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</si>
  <si>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</si>
  <si>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</si>
  <si>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</si>
  <si>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</si>
  <si>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</si>
  <si>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</si>
  <si>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</si>
  <si>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</si>
  <si>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</si>
  <si>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</si>
  <si>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</si>
  <si>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</si>
  <si>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</si>
  <si>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</si>
  <si>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</si>
  <si>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</si>
  <si>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</si>
  <si>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</si>
  <si>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</si>
  <si>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</si>
  <si>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</si>
  <si>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</si>
  <si>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</si>
  <si>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</si>
  <si>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</si>
  <si>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</si>
  <si>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</si>
  <si>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</si>
  <si>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</si>
  <si>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</si>
  <si>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</si>
  <si>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</si>
  <si>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</si>
  <si>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</si>
  <si>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</si>
  <si>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</si>
  <si>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</si>
  <si>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</si>
  <si>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</si>
  <si>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</si>
  <si>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</si>
  <si>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</si>
  <si>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</si>
  <si>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</si>
  <si>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</si>
  <si>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</si>
  <si>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</si>
  <si>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</si>
  <si>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</si>
  <si>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</si>
  <si>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</si>
  <si>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</si>
  <si>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</si>
  <si>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</si>
  <si>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</si>
  <si>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</si>
  <si>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</si>
  <si>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</si>
  <si>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</si>
  <si>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</si>
  <si>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</si>
  <si>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</si>
  <si>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</si>
  <si>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</si>
  <si>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</si>
  <si>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</si>
  <si>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</si>
  <si>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</si>
  <si>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</si>
  <si>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</si>
  <si>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</si>
  <si>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</si>
  <si>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</si>
  <si>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</si>
  <si>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</si>
  <si>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</si>
  <si>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</si>
  <si>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</si>
  <si>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</si>
  <si>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</si>
  <si>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</si>
  <si>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</si>
  <si>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</si>
  <si>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</si>
  <si>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</si>
  <si>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</si>
  <si>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</si>
  <si>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</si>
  <si>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</si>
  <si>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</si>
  <si>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</si>
  <si>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</si>
  <si>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</si>
  <si>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</si>
  <si>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</si>
  <si>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</si>
  <si>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</si>
  <si>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</si>
  <si>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</si>
  <si>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</si>
  <si>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</si>
  <si>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</si>
  <si>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</si>
  <si>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</si>
  <si>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</si>
  <si>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</si>
  <si>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</si>
  <si>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</si>
  <si>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</si>
  <si>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</si>
  <si>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</si>
  <si>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</si>
  <si>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</si>
  <si>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</si>
  <si>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</si>
  <si>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</si>
  <si>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</si>
  <si>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</si>
  <si>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</si>
  <si>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</si>
  <si>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</si>
  <si>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</si>
  <si>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</si>
  <si>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</si>
  <si>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</si>
  <si>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</si>
  <si>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</si>
  <si>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</si>
  <si>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</si>
  <si>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</si>
  <si>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</si>
  <si>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</si>
  <si>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</si>
  <si>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</si>
  <si>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</si>
  <si>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</si>
  <si>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</si>
  <si>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</si>
  <si>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</si>
  <si>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</si>
  <si>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</si>
  <si>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</si>
  <si>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</si>
  <si>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</si>
  <si>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</si>
  <si>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</si>
  <si>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</si>
  <si>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</si>
  <si>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</si>
  <si>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</si>
  <si>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</si>
  <si>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</si>
  <si>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</si>
  <si>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</si>
  <si>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</si>
  <si>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</si>
  <si>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</si>
  <si>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</si>
  <si>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</si>
  <si>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</si>
  <si>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</si>
  <si>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</si>
  <si>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</si>
  <si>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</si>
  <si>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</si>
  <si>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</si>
  <si>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</si>
  <si>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</si>
  <si>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</si>
  <si>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</si>
  <si>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</si>
  <si>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</si>
  <si>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</si>
  <si>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</si>
  <si>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</si>
  <si>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</si>
  <si>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</si>
  <si>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</si>
  <si>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</si>
  <si>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</si>
  <si>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</si>
  <si>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</si>
  <si>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</si>
  <si>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</si>
  <si>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</si>
  <si>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</si>
  <si>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</si>
  <si>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</si>
  <si>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</si>
  <si>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</si>
  <si>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</si>
  <si>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</si>
  <si>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</si>
  <si>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</si>
  <si>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</si>
  <si>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</si>
  <si>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</si>
  <si>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</si>
  <si>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</si>
  <si>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</si>
  <si>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</si>
  <si>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</si>
  <si>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</si>
  <si>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</si>
  <si>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</si>
  <si>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</si>
  <si>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</si>
  <si>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</si>
  <si>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</si>
  <si>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</si>
  <si>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</si>
  <si>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</si>
  <si>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</si>
  <si>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</si>
  <si>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</si>
  <si>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</si>
  <si>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</si>
  <si>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</si>
  <si>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</si>
  <si>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</si>
  <si>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</si>
  <si>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</si>
  <si>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</si>
  <si>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</si>
  <si>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</si>
  <si>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</si>
  <si>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</si>
  <si>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</si>
  <si>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</si>
  <si>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</si>
  <si>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</si>
  <si>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</si>
  <si>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</si>
  <si>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</si>
  <si>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</si>
  <si>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</si>
  <si>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</si>
  <si>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</si>
  <si>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</si>
  <si>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</si>
  <si>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</si>
  <si>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</si>
  <si>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</si>
  <si>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</si>
  <si>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</si>
  <si>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</si>
  <si>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</si>
  <si>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</si>
  <si>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</si>
  <si>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</si>
  <si>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</si>
  <si>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</si>
  <si>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</si>
  <si>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</si>
  <si>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</si>
  <si>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</si>
  <si>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</si>
  <si>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</si>
  <si>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</si>
  <si>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</si>
  <si>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</si>
  <si>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</si>
  <si>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</si>
  <si>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</si>
  <si>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</si>
  <si>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</si>
  <si>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</si>
  <si>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</si>
  <si>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</si>
  <si>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</si>
  <si>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</si>
  <si>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</si>
  <si>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</si>
  <si>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</si>
  <si>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</si>
  <si>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</si>
  <si>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</si>
  <si>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</si>
  <si>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</si>
  <si>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</si>
  <si>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</si>
  <si>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</si>
  <si>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</si>
  <si>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</si>
  <si>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</si>
  <si>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</si>
  <si>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</si>
  <si>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</si>
  <si>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</si>
  <si>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</si>
  <si>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</si>
  <si>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</si>
  <si>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</si>
  <si>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</si>
  <si>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</si>
  <si>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</si>
  <si>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</si>
  <si>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</si>
  <si>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</si>
  <si>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</si>
  <si>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</si>
  <si>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</si>
  <si>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</si>
  <si>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</si>
  <si>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</si>
  <si>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</si>
  <si>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</si>
  <si>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</si>
  <si>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</si>
  <si>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</si>
  <si>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</si>
  <si>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</si>
  <si>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</si>
  <si>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</si>
  <si>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</si>
  <si>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</si>
  <si>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</si>
  <si>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</si>
  <si>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</si>
  <si>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</si>
  <si>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</si>
  <si>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</si>
  <si>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</si>
  <si>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</si>
  <si>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</si>
  <si>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</si>
  <si>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</si>
  <si>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</si>
  <si>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</si>
  <si>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</si>
  <si>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</si>
  <si>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</si>
  <si>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</si>
  <si>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</si>
  <si>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</si>
  <si>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</si>
  <si>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</si>
  <si>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</si>
  <si>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</si>
  <si>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</si>
  <si>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</si>
  <si>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</si>
  <si>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</si>
  <si>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</si>
  <si>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</si>
  <si>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</si>
  <si>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</si>
  <si>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</si>
  <si>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</si>
  <si>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</si>
  <si>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</si>
  <si>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</si>
  <si>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</si>
  <si>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</si>
  <si>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</si>
  <si>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</si>
  <si>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</si>
  <si>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</si>
  <si>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</si>
  <si>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</si>
  <si>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</si>
  <si>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</si>
  <si>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</si>
  <si>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</si>
  <si>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</si>
  <si>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</si>
  <si>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</si>
  <si>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</si>
  <si>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</si>
  <si>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</si>
  <si>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</si>
  <si>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</si>
  <si>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</si>
  <si>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</si>
  <si>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</si>
  <si>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</si>
  <si>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</si>
  <si>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</si>
  <si>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</si>
  <si>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</si>
  <si>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</si>
  <si>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</si>
  <si>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</si>
  <si>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</si>
  <si>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</si>
  <si>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</si>
  <si>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</si>
  <si>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</si>
  <si>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</si>
  <si>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</si>
  <si>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</si>
  <si>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</si>
  <si>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</si>
  <si>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</si>
  <si>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</si>
  <si>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</si>
  <si>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</si>
  <si>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</si>
  <si>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</si>
  <si>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</si>
  <si>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</si>
  <si>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</si>
  <si>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</si>
  <si>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</si>
  <si>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</si>
  <si>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</si>
  <si>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</si>
  <si>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</si>
  <si>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</si>
  <si>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</si>
  <si>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</si>
  <si>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</si>
  <si>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</si>
  <si>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</si>
  <si>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</si>
  <si>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</si>
  <si>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</si>
  <si>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</si>
  <si>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</si>
  <si>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</si>
  <si>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</si>
  <si>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</si>
  <si>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</si>
  <si>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</si>
  <si>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</si>
  <si>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</si>
  <si>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</si>
  <si>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</si>
  <si>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</si>
  <si>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</si>
  <si>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</si>
  <si>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</si>
  <si>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</si>
  <si>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</si>
  <si>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</si>
  <si>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</si>
  <si>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</si>
  <si>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</si>
  <si>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</si>
  <si>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</si>
  <si>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</si>
  <si>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</si>
  <si>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</si>
  <si>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</si>
  <si>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</si>
  <si>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</si>
  <si>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</si>
  <si>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</si>
  <si>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</si>
  <si>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</si>
  <si>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</si>
  <si>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</si>
  <si>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</si>
  <si>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</si>
  <si>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</si>
  <si>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</si>
  <si>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</si>
  <si>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</si>
  <si>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</si>
  <si>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</si>
  <si>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</si>
  <si>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</si>
  <si>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</si>
  <si>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</si>
  <si>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</si>
  <si>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</si>
  <si>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</si>
  <si>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</si>
  <si>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</si>
  <si>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</si>
  <si>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</si>
  <si>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</si>
  <si>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</si>
  <si>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</si>
  <si>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</si>
  <si>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</si>
  <si>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</si>
  <si>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</si>
  <si>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</si>
  <si>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</si>
  <si>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</si>
  <si>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</si>
  <si>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</si>
  <si>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</si>
  <si>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</si>
  <si>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</si>
  <si>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</si>
  <si>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</si>
  <si>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</si>
  <si>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</si>
  <si>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</si>
  <si>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</si>
  <si>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</si>
  <si>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</si>
  <si>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</si>
  <si>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</si>
  <si>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</si>
  <si>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</si>
  <si>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</si>
  <si>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</si>
  <si>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</si>
  <si>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</si>
  <si>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</si>
  <si>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</si>
  <si>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</si>
  <si>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</si>
  <si>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</si>
  <si>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</si>
  <si>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</si>
  <si>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</si>
  <si>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</si>
  <si>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</si>
  <si>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</si>
  <si>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</si>
  <si>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</si>
  <si>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</si>
  <si>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</si>
  <si>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</si>
  <si>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</si>
  <si>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</si>
  <si>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</si>
  <si>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</si>
  <si>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</si>
  <si>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</si>
  <si>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</si>
  <si>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</si>
  <si>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</si>
  <si>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</si>
  <si>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</si>
  <si>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</si>
  <si>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</si>
  <si>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</si>
  <si>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</si>
  <si>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</si>
  <si>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</si>
  <si>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</si>
  <si>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</si>
  <si>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</si>
  <si>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</si>
  <si>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</si>
  <si>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</si>
  <si>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</si>
  <si>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</si>
  <si>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</si>
  <si>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</si>
  <si>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</si>
  <si>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</si>
  <si>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</si>
  <si>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</si>
  <si>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</si>
  <si>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</si>
  <si>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</si>
  <si>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</si>
  <si>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</si>
  <si>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</si>
  <si>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</si>
  <si>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</si>
  <si>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</si>
  <si>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</si>
  <si>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</si>
  <si>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</si>
  <si>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</si>
  <si>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</si>
  <si>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</si>
  <si>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</si>
  <si>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</si>
  <si>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</si>
  <si>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</si>
  <si>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</si>
  <si>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</si>
  <si>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</si>
  <si>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</si>
  <si>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</si>
  <si>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</si>
  <si>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</si>
  <si>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</si>
  <si>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</si>
  <si>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</si>
  <si>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</si>
  <si>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</si>
  <si>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</si>
  <si>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</si>
  <si>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</si>
  <si>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</si>
  <si>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</si>
  <si>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</si>
  <si>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</si>
  <si>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</si>
  <si>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</si>
  <si>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</si>
  <si>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</si>
  <si>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</si>
  <si>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</si>
  <si>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</si>
  <si>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</si>
  <si>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</si>
  <si>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</si>
  <si>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</si>
  <si>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</si>
  <si>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</si>
  <si>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</si>
  <si>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</si>
  <si>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</si>
  <si>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</si>
  <si>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</si>
  <si>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</si>
  <si>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</si>
  <si>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</si>
  <si>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</si>
  <si>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</si>
  <si>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</si>
  <si>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</si>
  <si>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</si>
  <si>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</si>
  <si>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</si>
  <si>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</si>
  <si>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</si>
  <si>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</si>
  <si>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</si>
  <si>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</si>
  <si>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</si>
  <si>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</si>
  <si>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</si>
  <si>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</si>
  <si>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</si>
  <si>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</si>
  <si>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</si>
  <si>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</si>
  <si>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</si>
  <si>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</si>
  <si>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</si>
  <si>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</si>
  <si>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</si>
  <si>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</si>
  <si>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</si>
  <si>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</si>
  <si>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</si>
  <si>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</si>
  <si>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</si>
  <si>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</si>
  <si>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</si>
  <si>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</si>
  <si>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</si>
  <si>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</si>
  <si>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</si>
  <si>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</si>
  <si>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</si>
  <si>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</si>
  <si>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</si>
  <si>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</si>
  <si>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</si>
  <si>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</si>
  <si>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</si>
  <si>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</si>
  <si>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</si>
  <si>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</si>
  <si>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</si>
  <si>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</si>
  <si>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</si>
  <si>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</si>
  <si>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</si>
  <si>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</si>
  <si>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</si>
  <si>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</si>
  <si>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</si>
  <si>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</si>
  <si>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</si>
  <si>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</si>
  <si>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</si>
  <si>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</si>
  <si>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</si>
  <si>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</si>
  <si>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</si>
  <si>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</si>
  <si>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</si>
  <si>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</si>
  <si>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</si>
  <si>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</si>
  <si>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</si>
  <si>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</si>
  <si>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</si>
  <si>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</si>
  <si>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</si>
  <si>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</si>
  <si>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</si>
  <si>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</si>
  <si>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</si>
  <si>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</si>
  <si>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</si>
  <si>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</si>
  <si>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</si>
  <si>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</si>
  <si>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</si>
  <si>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</si>
  <si>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</si>
  <si>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</si>
  <si>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</si>
  <si>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</si>
  <si>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</si>
  <si>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</si>
  <si>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</si>
  <si>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</si>
  <si>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</si>
  <si>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</si>
  <si>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</si>
  <si>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</si>
  <si>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</si>
  <si>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</si>
  <si>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</si>
  <si>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</si>
  <si>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</si>
  <si>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</si>
  <si>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</si>
  <si>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</si>
  <si>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</si>
  <si>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</si>
  <si>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</si>
  <si>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</si>
  <si>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</si>
  <si>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</si>
  <si>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</si>
  <si>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</si>
  <si>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</si>
  <si>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</si>
  <si>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</si>
  <si>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</si>
  <si>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</si>
  <si>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</si>
  <si>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</si>
  <si>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</si>
  <si>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</si>
  <si>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</si>
  <si>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</si>
  <si>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</si>
  <si>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</si>
  <si>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</si>
  <si>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</si>
  <si>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</si>
  <si>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</si>
  <si>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</si>
  <si>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</si>
  <si>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</si>
  <si>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</si>
  <si>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</si>
  <si>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</si>
  <si>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</si>
  <si>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</si>
  <si>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</si>
  <si>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</si>
  <si>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</si>
  <si>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</si>
  <si>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</si>
  <si>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</si>
  <si>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</si>
  <si>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</si>
  <si>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</si>
  <si>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</si>
  <si>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</si>
  <si>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</si>
  <si>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</si>
  <si>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</si>
  <si>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</si>
  <si>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</si>
  <si>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</si>
  <si>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</si>
  <si>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</si>
  <si>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</si>
  <si>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</si>
  <si>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</si>
  <si>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</si>
  <si>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</si>
  <si>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</si>
  <si>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</si>
  <si>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</si>
  <si>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</si>
  <si>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</si>
  <si>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</si>
  <si>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</si>
  <si>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</si>
  <si>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</si>
  <si>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</si>
  <si>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</si>
  <si>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</si>
  <si>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</si>
  <si>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</si>
  <si>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</si>
  <si>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</si>
  <si>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</si>
  <si>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</si>
  <si>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</si>
  <si>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</si>
  <si>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</si>
  <si>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</si>
  <si>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</si>
  <si>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</si>
  <si>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</si>
  <si>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</si>
  <si>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</si>
  <si>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</si>
  <si>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</si>
  <si>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</si>
  <si>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</si>
  <si>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</si>
  <si>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</si>
  <si>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</si>
  <si>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</si>
  <si>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</si>
  <si>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</si>
  <si>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</si>
  <si>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</si>
  <si>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</si>
  <si>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</si>
  <si>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</si>
  <si>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</si>
  <si>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</si>
  <si>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</si>
  <si>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</si>
  <si>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</si>
  <si>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</si>
  <si>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</si>
  <si>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</si>
  <si>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</si>
  <si>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</si>
  <si>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</si>
  <si>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</si>
  <si>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</si>
  <si>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</si>
  <si>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</si>
  <si>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</si>
  <si>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</si>
  <si>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</si>
  <si>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</si>
  <si>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</si>
  <si>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</si>
  <si>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</si>
  <si>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</si>
  <si>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</si>
  <si>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</si>
  <si>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</si>
  <si>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</si>
  <si>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</si>
  <si>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</si>
  <si>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</si>
  <si>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</si>
  <si>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</si>
  <si>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</si>
  <si>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</si>
  <si>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</si>
  <si>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</si>
  <si>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</si>
  <si>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</si>
  <si>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</si>
  <si>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</si>
  <si>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</si>
  <si>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</si>
  <si>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</si>
  <si>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</si>
  <si>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</si>
  <si>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</si>
  <si>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</si>
  <si>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</si>
  <si>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</si>
  <si>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</si>
  <si>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</si>
  <si>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</si>
  <si>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</si>
  <si>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</si>
  <si>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</si>
  <si>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</si>
  <si>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</si>
  <si>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</si>
  <si>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</si>
  <si>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</si>
  <si>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</si>
  <si>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</si>
  <si>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</si>
  <si>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</si>
  <si>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</si>
  <si>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</si>
  <si>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</si>
  <si>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</si>
  <si>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</si>
  <si>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</si>
  <si>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</si>
  <si>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</si>
  <si>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</si>
  <si>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</si>
  <si>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</si>
  <si>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</si>
  <si>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</si>
  <si>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</si>
  <si>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</si>
  <si>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</si>
  <si>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</si>
  <si>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</si>
  <si>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</si>
  <si>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</si>
  <si>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</si>
  <si>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</si>
  <si>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</si>
  <si>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</si>
  <si>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</si>
  <si>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</si>
  <si>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</si>
  <si>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</si>
  <si>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</si>
  <si>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</si>
  <si>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</si>
  <si>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</si>
  <si>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</si>
  <si>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</si>
  <si>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</si>
  <si>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</si>
  <si>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</si>
  <si>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</si>
  <si>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</si>
  <si>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</si>
  <si>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</si>
  <si>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</si>
  <si>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</si>
  <si>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</si>
  <si>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</si>
  <si>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</si>
  <si>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</si>
  <si>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</si>
  <si>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</si>
  <si>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</si>
  <si>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</si>
  <si>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</si>
  <si>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</si>
  <si>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</si>
  <si>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</si>
  <si>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</si>
  <si>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</si>
  <si>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</si>
  <si>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</si>
  <si>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</si>
  <si>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</si>
  <si>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</si>
  <si>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</si>
  <si>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</si>
  <si>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</si>
  <si>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</si>
  <si>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</si>
  <si>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</si>
  <si>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</si>
  <si>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</si>
  <si>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</si>
  <si>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</si>
  <si>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</si>
  <si>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</si>
  <si>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</si>
  <si>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</si>
  <si>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</si>
  <si>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</si>
  <si>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</si>
  <si>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</si>
  <si>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</si>
  <si>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</si>
  <si>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</si>
  <si>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</si>
  <si>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</si>
  <si>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</si>
  <si>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</si>
  <si>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</si>
  <si>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</si>
  <si>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</si>
  <si>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</si>
  <si>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</si>
  <si>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</si>
  <si>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</si>
  <si>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</si>
  <si>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</si>
  <si>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</si>
  <si>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</si>
  <si>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</si>
  <si>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</si>
  <si>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</si>
  <si>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</si>
  <si>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</si>
  <si>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</si>
  <si>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</si>
  <si>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</si>
  <si>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</si>
  <si>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</si>
  <si>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</si>
  <si>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</si>
  <si>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</si>
  <si>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</si>
  <si>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</si>
  <si>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</si>
  <si>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</si>
  <si>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</si>
  <si>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</si>
  <si>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</si>
  <si>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</si>
  <si>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</si>
  <si>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</si>
  <si>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</si>
  <si>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</si>
  <si>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</si>
  <si>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</si>
  <si>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</si>
  <si>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</si>
  <si>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</si>
  <si>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</si>
  <si>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</si>
  <si>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</si>
  <si>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</si>
  <si>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</si>
  <si>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</si>
  <si>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</si>
  <si>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</si>
  <si>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</si>
  <si>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</si>
  <si>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</si>
  <si>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</si>
  <si>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</si>
  <si>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</si>
  <si>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</si>
  <si>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</si>
  <si>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</si>
  <si>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</si>
  <si>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</si>
  <si>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</si>
  <si>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</si>
  <si>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</si>
  <si>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</si>
  <si>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</si>
  <si>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</si>
  <si>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</si>
  <si>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</si>
  <si>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</si>
  <si>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</si>
  <si>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</si>
  <si>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</si>
  <si>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</si>
  <si>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</si>
  <si>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</si>
  <si>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</si>
  <si>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</si>
  <si>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</si>
  <si>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</si>
  <si>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</si>
  <si>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</si>
  <si>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</si>
  <si>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</si>
  <si>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</si>
  <si>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</si>
  <si>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</si>
  <si>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</si>
  <si>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</si>
  <si>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</si>
  <si>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</si>
  <si>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</si>
  <si>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</si>
  <si>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</si>
  <si>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</si>
  <si>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</si>
  <si>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</si>
  <si>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</si>
  <si>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</si>
  <si>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</si>
  <si>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</si>
  <si>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</si>
  <si>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</si>
  <si>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</si>
  <si>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</si>
  <si>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</si>
  <si>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</si>
  <si>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</si>
  <si>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</si>
  <si>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</si>
  <si>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</si>
  <si>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</si>
  <si>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</si>
  <si>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</si>
  <si>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</si>
  <si>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</si>
  <si>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</si>
  <si>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</si>
  <si>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</si>
  <si>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</si>
  <si>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</si>
  <si>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</si>
  <si>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</si>
  <si>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</si>
  <si>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</si>
  <si>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</si>
  <si>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</si>
  <si>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</si>
  <si>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</si>
  <si>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</si>
  <si>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</si>
  <si>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</si>
  <si>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</si>
  <si>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</si>
  <si>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</si>
  <si>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</si>
  <si>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</si>
  <si>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</si>
  <si>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</si>
  <si>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</si>
  <si>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</si>
  <si>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</si>
  <si>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</si>
  <si>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</si>
  <si>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</si>
  <si>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</si>
  <si>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</si>
  <si>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</si>
  <si>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</si>
  <si>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</si>
  <si>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</si>
  <si>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</si>
  <si>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</si>
  <si>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</si>
  <si>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</si>
  <si>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</si>
  <si>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</si>
  <si>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</si>
  <si>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</si>
  <si>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</si>
  <si>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</si>
  <si>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</si>
  <si>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</si>
  <si>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</si>
  <si>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</si>
  <si>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</si>
  <si>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</si>
  <si>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</si>
  <si>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</si>
  <si>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</si>
  <si>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</si>
  <si>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</si>
  <si>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</si>
  <si>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</si>
  <si>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</si>
  <si>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</si>
  <si>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</si>
  <si>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</si>
  <si>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</si>
  <si>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</si>
  <si>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</si>
  <si>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</si>
  <si>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</si>
  <si>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</si>
  <si>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</si>
  <si>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</si>
  <si>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</si>
  <si>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</si>
  <si>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</si>
  <si>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</si>
  <si>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</si>
  <si>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</si>
  <si>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</si>
  <si>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</si>
  <si>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</si>
  <si>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</si>
  <si>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</si>
  <si>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</si>
  <si>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</si>
  <si>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</si>
  <si>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</si>
  <si>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</si>
  <si>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</si>
  <si>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</si>
  <si>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</si>
  <si>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</si>
  <si>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</si>
  <si>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</si>
  <si>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</si>
  <si>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</si>
  <si>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</si>
  <si>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</si>
  <si>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</si>
  <si>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</si>
  <si>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</si>
  <si>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</si>
  <si>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</si>
  <si>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</si>
  <si>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</si>
  <si>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</si>
  <si>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</si>
  <si>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</si>
  <si>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</si>
  <si>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</si>
  <si>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</si>
  <si>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</si>
  <si>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</si>
  <si>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</si>
  <si>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</si>
  <si>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</si>
  <si>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</si>
  <si>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</si>
  <si>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</si>
  <si>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</si>
  <si>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</si>
  <si>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</si>
  <si>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</si>
  <si>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</si>
  <si>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</si>
  <si>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</si>
  <si>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</si>
  <si>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</si>
  <si>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</si>
  <si>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</si>
  <si>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</si>
  <si>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</si>
  <si>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</si>
  <si>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</si>
  <si>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</si>
  <si>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</si>
  <si>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</si>
  <si>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</si>
  <si>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</si>
  <si>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</si>
  <si>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</si>
  <si>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</si>
  <si>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</si>
  <si>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</si>
  <si>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</si>
  <si>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</si>
  <si>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</si>
  <si>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</si>
  <si>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</si>
  <si>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</si>
  <si>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</si>
  <si>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</si>
  <si>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</si>
  <si>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</si>
  <si>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</si>
  <si>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</si>
  <si>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</si>
  <si>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</si>
  <si>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</si>
  <si>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</si>
  <si>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</si>
  <si>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</si>
  <si>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</si>
  <si>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</si>
  <si>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</si>
  <si>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</si>
  <si>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</si>
  <si>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</si>
  <si>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</si>
  <si>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</si>
  <si>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</si>
  <si>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</si>
  <si>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</si>
  <si>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</si>
  <si>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</si>
  <si>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</si>
  <si>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</si>
  <si>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</si>
  <si>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</si>
  <si>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</si>
  <si>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</si>
  <si>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</si>
  <si>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</si>
  <si>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</si>
  <si>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</si>
  <si>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</si>
  <si>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</si>
  <si>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</si>
  <si>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</si>
  <si>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</si>
  <si>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</si>
  <si>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</si>
  <si>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</si>
  <si>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</si>
  <si>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</si>
  <si>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</si>
  <si>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</si>
  <si>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</si>
  <si>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</si>
  <si>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</si>
  <si>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</si>
  <si>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</si>
  <si>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</si>
  <si>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</si>
  <si>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</si>
  <si>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</si>
  <si>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</si>
  <si>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</si>
  <si>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</si>
  <si>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</si>
  <si>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</si>
  <si>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</si>
  <si>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</si>
  <si>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</si>
  <si>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</si>
  <si>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</si>
  <si>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</si>
  <si>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</si>
  <si>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</si>
  <si>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</si>
  <si>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</si>
  <si>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</si>
  <si>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</si>
  <si>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</si>
  <si>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</si>
  <si>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</si>
  <si>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</si>
  <si>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</si>
  <si>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</si>
  <si>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</si>
  <si>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</si>
  <si>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</si>
  <si>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</si>
  <si>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</si>
  <si>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</si>
  <si>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</si>
  <si>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</si>
  <si>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</si>
  <si>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</si>
  <si>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</si>
  <si>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</si>
  <si>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</si>
  <si>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</si>
  <si>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</si>
  <si>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</si>
  <si>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</si>
  <si>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</si>
  <si>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</si>
  <si>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</si>
  <si>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</si>
  <si>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</si>
  <si>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</si>
  <si>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</si>
  <si>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</si>
  <si>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</si>
  <si>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</si>
  <si>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</si>
  <si>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</si>
  <si>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</si>
  <si>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</si>
  <si>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</si>
  <si>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</si>
  <si>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</si>
  <si>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</si>
  <si>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</si>
  <si>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</si>
  <si>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</si>
  <si>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</si>
  <si>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</si>
  <si>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</si>
  <si>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</si>
  <si>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</si>
  <si>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</si>
  <si>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</si>
  <si>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</si>
  <si>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</si>
  <si>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</si>
  <si>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</si>
  <si>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</si>
  <si>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</si>
  <si>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</si>
  <si>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</si>
  <si>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</si>
  <si>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</si>
  <si>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</si>
  <si>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</si>
  <si>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</si>
  <si>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</si>
  <si>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</si>
  <si>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</si>
  <si>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</si>
  <si>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</si>
  <si>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</si>
  <si>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</si>
  <si>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</si>
  <si>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</si>
  <si>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</si>
  <si>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</si>
  <si>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</si>
  <si>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</si>
  <si>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</si>
  <si>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</si>
  <si>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</si>
  <si>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</si>
  <si>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</si>
  <si>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</si>
  <si>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</si>
  <si>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</si>
  <si>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</si>
  <si>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</si>
  <si>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</si>
  <si>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</si>
  <si>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</si>
  <si>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</si>
  <si>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</si>
  <si>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</si>
  <si>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</si>
  <si>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</si>
  <si>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</si>
  <si>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</si>
  <si>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</si>
  <si>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</si>
  <si>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</si>
  <si>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</si>
  <si>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</si>
  <si>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</si>
  <si>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</si>
  <si>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</si>
  <si>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</si>
  <si>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</si>
  <si>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</si>
  <si>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</si>
  <si>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</si>
  <si>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</si>
  <si>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</si>
  <si>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</si>
  <si>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</si>
  <si>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</si>
  <si>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</si>
  <si>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</si>
  <si>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</si>
  <si>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</si>
  <si>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</si>
  <si>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</si>
  <si>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</si>
  <si>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</si>
  <si>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</si>
  <si>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</si>
  <si>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</si>
  <si>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</si>
  <si>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</si>
  <si>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</si>
  <si>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</si>
  <si>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</si>
  <si>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</si>
  <si>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</si>
  <si>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</si>
  <si>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</si>
  <si>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</si>
  <si>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</si>
  <si>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</si>
  <si>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</si>
  <si>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</si>
  <si>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</si>
  <si>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</si>
  <si>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</si>
  <si>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</si>
  <si>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</si>
  <si>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</si>
  <si>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</si>
  <si>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</si>
  <si>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</si>
  <si>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</si>
  <si>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</si>
  <si>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</si>
  <si>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</si>
  <si>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</si>
  <si>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</si>
  <si>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</si>
  <si>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</si>
  <si>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</si>
  <si>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</si>
  <si>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</si>
  <si>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</si>
  <si>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</si>
  <si>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</si>
  <si>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</si>
  <si>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</si>
  <si>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</si>
  <si>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</si>
  <si>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</si>
  <si>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</si>
  <si>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</si>
  <si>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</si>
  <si>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</si>
  <si>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</si>
  <si>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</si>
  <si>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</si>
  <si>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</si>
  <si>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</si>
  <si>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</si>
  <si>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</si>
  <si>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</si>
  <si>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</si>
  <si>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</si>
  <si>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</si>
  <si>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</si>
  <si>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</si>
  <si>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</si>
  <si>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</si>
  <si>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</si>
  <si>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</si>
  <si>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</si>
  <si>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</si>
  <si>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</si>
  <si>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</si>
  <si>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</si>
  <si>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</si>
  <si>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</si>
  <si>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</si>
  <si>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</si>
  <si>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</si>
  <si>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</si>
  <si>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</si>
  <si>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</si>
  <si>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</si>
  <si>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</si>
  <si>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</si>
  <si>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</si>
  <si>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</si>
  <si>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</si>
  <si>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</si>
  <si>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</si>
  <si>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</si>
  <si>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</si>
  <si>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</si>
  <si>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</si>
  <si>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</si>
  <si>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</si>
  <si>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</si>
  <si>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</si>
  <si>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</si>
  <si>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</si>
  <si>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</si>
  <si>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</si>
  <si>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</si>
  <si>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</si>
  <si>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</si>
  <si>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</si>
  <si>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</si>
  <si>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</si>
  <si>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</si>
  <si>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</si>
  <si>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</si>
  <si>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</si>
  <si>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</si>
  <si>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</si>
  <si>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</si>
  <si>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</si>
  <si>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</si>
  <si>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</si>
  <si>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</si>
  <si>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</si>
  <si>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</si>
  <si>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</si>
  <si>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</si>
  <si>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</si>
  <si>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</si>
  <si>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</si>
  <si>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</si>
  <si>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</si>
  <si>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</si>
  <si>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</si>
  <si>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</si>
  <si>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</si>
  <si>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</si>
  <si>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</si>
  <si>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</si>
  <si>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</si>
  <si>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</si>
  <si>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</si>
  <si>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</si>
  <si>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</si>
  <si>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</si>
  <si>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</si>
  <si>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</si>
  <si>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</si>
  <si>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</si>
  <si>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</si>
  <si>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</si>
  <si>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</si>
  <si>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</si>
  <si>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</si>
  <si>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</si>
  <si>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</si>
  <si>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</si>
  <si>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</si>
  <si>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</si>
  <si>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</si>
  <si>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</si>
  <si>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</si>
  <si>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</si>
  <si>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</si>
  <si>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</si>
  <si>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</si>
  <si>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</si>
  <si>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</si>
  <si>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</si>
  <si>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</si>
  <si>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</si>
  <si>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</si>
  <si>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</si>
  <si>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</si>
  <si>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</si>
  <si>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</si>
  <si>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</si>
  <si>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</si>
  <si>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</si>
  <si>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</si>
  <si>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</si>
  <si>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</si>
  <si>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</si>
  <si>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</si>
  <si>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</si>
  <si>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</si>
  <si>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</si>
  <si>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</si>
  <si>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</si>
  <si>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</si>
  <si>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</si>
  <si>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</si>
  <si>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</si>
  <si>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</si>
  <si>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</si>
  <si>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</si>
  <si>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</si>
  <si>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</si>
  <si>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</si>
  <si>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</si>
  <si>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</si>
  <si>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</si>
  <si>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</si>
  <si>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</si>
  <si>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</si>
  <si>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</si>
  <si>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</si>
  <si>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</si>
  <si>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</si>
  <si>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</si>
  <si>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</si>
  <si>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</si>
  <si>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</si>
  <si>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</si>
  <si>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</si>
  <si>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</si>
  <si>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</si>
  <si>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</si>
  <si>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</si>
  <si>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</si>
  <si>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</si>
  <si>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</si>
  <si>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</si>
  <si>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</si>
  <si>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</si>
  <si>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</si>
  <si>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</si>
  <si>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</si>
  <si>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</si>
  <si>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</si>
  <si>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</si>
  <si>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</si>
  <si>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</si>
  <si>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</si>
  <si>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</si>
  <si>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</si>
  <si>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</si>
  <si>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</si>
  <si>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</si>
  <si>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</si>
  <si>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</si>
  <si>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</si>
  <si>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</si>
  <si>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</si>
  <si>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</si>
  <si>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</si>
  <si>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</si>
  <si>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</si>
  <si>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</si>
  <si>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</si>
  <si>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</si>
  <si>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</si>
  <si>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</si>
  <si>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</si>
  <si>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</si>
  <si>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</si>
  <si>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</si>
  <si>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</si>
  <si>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</si>
  <si>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</si>
  <si>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</si>
  <si>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</si>
  <si>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</si>
  <si>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</si>
  <si>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</si>
  <si>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</si>
  <si>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</si>
  <si>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</si>
  <si>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</si>
  <si>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</si>
  <si>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</si>
  <si>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</si>
  <si>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</si>
  <si>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</si>
  <si>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</si>
  <si>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</si>
  <si>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</si>
  <si>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</si>
  <si>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</si>
  <si>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</si>
  <si>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</si>
  <si>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</si>
  <si>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</si>
  <si>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</si>
  <si>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</si>
  <si>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</si>
  <si>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</si>
  <si>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</si>
  <si>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</si>
  <si>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</si>
  <si>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</si>
  <si>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</si>
  <si>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</si>
  <si>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</si>
  <si>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</si>
  <si>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</si>
  <si>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</si>
  <si>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</si>
  <si>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</si>
  <si>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</si>
  <si>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</si>
  <si>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</si>
  <si>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</si>
  <si>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</si>
  <si>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</si>
  <si>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</si>
  <si>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</si>
  <si>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</si>
  <si>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</si>
  <si>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</si>
  <si>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</si>
  <si>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</si>
  <si>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</si>
  <si>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</si>
  <si>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</si>
  <si>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</si>
  <si>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</si>
  <si>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</si>
  <si>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</si>
  <si>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</si>
  <si>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</si>
  <si>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</si>
  <si>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</si>
  <si>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</si>
  <si>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</si>
  <si>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</si>
  <si>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</si>
  <si>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</si>
  <si>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</si>
  <si>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</si>
  <si>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</si>
  <si>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</si>
  <si>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</si>
  <si>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</si>
  <si>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</si>
  <si>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</si>
  <si>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</si>
  <si>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</si>
  <si>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</si>
  <si>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</si>
  <si>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</si>
  <si>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</si>
  <si>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</si>
  <si>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</si>
  <si>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</si>
  <si>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</si>
  <si>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</si>
  <si>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</si>
  <si>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</si>
  <si>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</si>
  <si>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</si>
  <si>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</si>
  <si>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</si>
  <si>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</si>
  <si>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</si>
  <si>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</si>
  <si>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</si>
  <si>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</si>
  <si>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</si>
  <si>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</si>
  <si>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</si>
  <si>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</si>
  <si>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</si>
  <si>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</si>
  <si>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</si>
  <si>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</si>
  <si>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</si>
  <si>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</si>
  <si>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</si>
  <si>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</si>
  <si>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</si>
  <si>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</si>
  <si>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</si>
  <si>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</si>
  <si>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</si>
  <si>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</si>
  <si>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</si>
  <si>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</si>
  <si>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</si>
  <si>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</si>
  <si>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</si>
  <si>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</si>
  <si>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</si>
  <si>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</si>
  <si>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</si>
  <si>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</si>
  <si>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</si>
  <si>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</si>
  <si>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</si>
  <si>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</si>
  <si>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</si>
  <si>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</si>
  <si>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</si>
  <si>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</si>
  <si>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</si>
  <si>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</si>
  <si>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</si>
  <si>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</si>
  <si>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</si>
  <si>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</si>
  <si>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</si>
  <si>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</si>
  <si>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</si>
  <si>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</si>
  <si>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</si>
  <si>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</si>
  <si>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</si>
  <si>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</si>
  <si>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</si>
  <si>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</si>
  <si>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</si>
  <si>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</si>
  <si>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</si>
  <si>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</si>
  <si>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</si>
  <si>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</si>
  <si>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</si>
  <si>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</si>
  <si>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</si>
  <si>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</si>
  <si>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</si>
  <si>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</si>
  <si>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</si>
  <si>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</si>
  <si>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</si>
  <si>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</si>
  <si>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</si>
  <si>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</si>
  <si>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</si>
  <si>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</si>
  <si>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</si>
  <si>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</si>
  <si>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</si>
  <si>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</si>
  <si>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</si>
  <si>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</si>
  <si>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</si>
  <si>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</si>
  <si>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</si>
  <si>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</si>
  <si>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</si>
  <si>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</si>
  <si>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</si>
  <si>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</si>
  <si>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</si>
  <si>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</si>
  <si>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</si>
  <si>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</si>
  <si>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</si>
  <si>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</si>
  <si>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</si>
  <si>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</si>
  <si>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</si>
  <si>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</si>
  <si>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</si>
  <si>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</si>
  <si>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</si>
  <si>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</si>
  <si>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</si>
  <si>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</si>
  <si>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</si>
  <si>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</si>
  <si>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</si>
  <si>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</si>
  <si>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</si>
  <si>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</si>
  <si>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</si>
  <si>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</si>
  <si>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</si>
  <si>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</si>
  <si>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</si>
  <si>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</si>
  <si>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</si>
  <si>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</si>
  <si>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</si>
  <si>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</si>
  <si>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</si>
  <si>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</si>
  <si>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</si>
  <si>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</si>
  <si>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</si>
  <si>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</si>
  <si>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</si>
  <si>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</si>
  <si>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</si>
  <si>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</si>
  <si>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</si>
  <si>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</si>
  <si>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</si>
  <si>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</si>
  <si>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</si>
  <si>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</si>
  <si>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</si>
  <si>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</si>
  <si>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</si>
  <si>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</si>
  <si>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</si>
  <si>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</si>
  <si>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</si>
  <si>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</si>
  <si>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</si>
  <si>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</si>
  <si>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</si>
  <si>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</si>
  <si>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</si>
  <si>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</si>
  <si>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</si>
  <si>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</si>
  <si>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</si>
  <si>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</si>
  <si>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</si>
  <si>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</si>
  <si>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</si>
  <si>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</si>
  <si>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</si>
  <si>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</si>
  <si>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</si>
  <si>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</si>
  <si>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</si>
  <si>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</si>
  <si>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</si>
  <si>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</si>
  <si>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</si>
  <si>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</si>
  <si>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</si>
  <si>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</si>
  <si>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</si>
  <si>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</si>
  <si>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</si>
  <si>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</si>
  <si>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</si>
  <si>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</si>
  <si>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</si>
  <si>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</si>
  <si>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</si>
  <si>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</si>
  <si>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</si>
  <si>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</si>
  <si>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</si>
  <si>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</si>
  <si>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</si>
  <si>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</si>
  <si>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</si>
  <si>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</si>
  <si>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</si>
  <si>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</si>
  <si>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</si>
  <si>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</si>
  <si>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</si>
  <si>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</si>
  <si>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</si>
  <si>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</si>
  <si>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</si>
  <si>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</si>
  <si>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</si>
  <si>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</si>
  <si>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</si>
  <si>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</si>
  <si>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</si>
  <si>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</si>
  <si>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</si>
  <si>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</si>
  <si>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</si>
  <si>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</si>
  <si>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</si>
  <si>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</si>
  <si>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</si>
  <si>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</si>
  <si>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</si>
  <si>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</si>
  <si>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</si>
  <si>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</si>
  <si>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</si>
  <si>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</si>
  <si>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</si>
  <si>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</si>
  <si>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</si>
  <si>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</si>
  <si>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</si>
  <si>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</si>
  <si>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</si>
  <si>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</si>
  <si>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</si>
  <si>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</si>
  <si>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</si>
  <si>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</si>
  <si>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</si>
  <si>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</si>
  <si>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</si>
  <si>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</si>
  <si>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</si>
  <si>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</si>
  <si>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</si>
  <si>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</si>
  <si>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</si>
  <si>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</si>
  <si>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</si>
  <si>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</si>
  <si>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</si>
  <si>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</si>
  <si>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</si>
  <si>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</si>
  <si>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</si>
  <si>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</si>
  <si>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</si>
  <si>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</si>
  <si>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</si>
  <si>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</si>
  <si>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</si>
  <si>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</si>
  <si>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</si>
  <si>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</si>
  <si>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</si>
  <si>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</si>
  <si>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</si>
  <si>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</si>
  <si>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</si>
  <si>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</si>
  <si>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</si>
  <si>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</si>
  <si>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</si>
  <si>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</si>
  <si>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</si>
  <si>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</si>
  <si>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</si>
  <si>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</si>
  <si>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</si>
  <si>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</si>
  <si>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</si>
  <si>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</si>
  <si>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</si>
  <si>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</si>
  <si>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</si>
  <si>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</si>
  <si>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</si>
  <si>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</si>
  <si>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</si>
  <si>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</si>
  <si>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</si>
  <si>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</si>
  <si>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</si>
  <si>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</si>
  <si>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</si>
  <si>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</si>
  <si>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</si>
  <si>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</si>
  <si>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</si>
  <si>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</si>
  <si>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</si>
  <si>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</si>
  <si>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</si>
  <si>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</si>
  <si>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</si>
  <si>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</si>
  <si>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</si>
  <si>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</si>
  <si>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</si>
  <si>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</si>
  <si>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</si>
  <si>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</si>
  <si>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</si>
  <si>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</si>
  <si>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</si>
  <si>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</si>
  <si>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</si>
  <si>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</si>
  <si>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</si>
  <si>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</si>
  <si>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</si>
  <si>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</si>
  <si>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</si>
  <si>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</si>
  <si>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</si>
  <si>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</si>
  <si>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</si>
  <si>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</si>
  <si>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</si>
  <si>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</si>
  <si>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</si>
  <si>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</si>
  <si>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</si>
  <si>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</si>
  <si>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</si>
  <si>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</si>
  <si>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</si>
  <si>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</si>
  <si>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</si>
  <si>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</si>
  <si>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</si>
  <si>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</si>
  <si>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</si>
  <si>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</si>
  <si>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</si>
  <si>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</si>
  <si>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</si>
  <si>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</si>
  <si>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</si>
  <si>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</si>
  <si>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</si>
  <si>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</si>
  <si>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</si>
  <si>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</si>
  <si>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</si>
  <si>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</si>
  <si>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</si>
  <si>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</si>
  <si>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</si>
  <si>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</si>
  <si>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</si>
  <si>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</si>
  <si>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</si>
  <si>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</si>
  <si>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</si>
  <si>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</si>
  <si>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</si>
  <si>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</si>
  <si>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</si>
  <si>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</si>
  <si>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</si>
  <si>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</si>
  <si>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</si>
  <si>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</si>
  <si>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</si>
  <si>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</si>
  <si>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</si>
  <si>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</si>
  <si>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</si>
  <si>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</si>
  <si>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</si>
  <si>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</si>
  <si>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</si>
  <si>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</si>
  <si>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</si>
  <si>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</si>
  <si>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</si>
  <si>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</si>
  <si>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</si>
  <si>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</si>
  <si>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</si>
  <si>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</si>
  <si>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</si>
  <si>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</si>
  <si>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</si>
  <si>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</si>
  <si>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</si>
  <si>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</si>
  <si>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</si>
  <si>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</si>
  <si>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</si>
  <si>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</si>
  <si>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</si>
  <si>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</si>
  <si>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</si>
  <si>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</si>
  <si>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</si>
  <si>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</si>
  <si>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</si>
  <si>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</si>
  <si>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</si>
  <si>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</si>
  <si>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</si>
  <si>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</si>
  <si>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</si>
  <si>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</si>
  <si>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</si>
  <si>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</si>
  <si>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</si>
  <si>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</si>
  <si>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</si>
  <si>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</si>
  <si>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</si>
  <si>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</si>
  <si>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</si>
  <si>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</si>
  <si>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</si>
  <si>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</si>
  <si>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</si>
  <si>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</si>
  <si>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</si>
  <si>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</si>
  <si>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</si>
  <si>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</si>
  <si>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</si>
  <si>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</si>
  <si>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</si>
  <si>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</si>
  <si>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</si>
  <si>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楼号或幢号</t>
  </si>
  <si>
    <t>层数</t>
  </si>
  <si>
    <t>部位及房号</t>
  </si>
  <si>
    <t>结构</t>
  </si>
  <si>
    <t>建成年份</t>
  </si>
  <si>
    <t>建筑面积</t>
  </si>
  <si>
    <t>证载用途</t>
  </si>
  <si>
    <t>现状用途</t>
  </si>
  <si>
    <r>
      <t>一层2</t>
    </r>
    <r>
      <rPr>
        <sz val="11"/>
        <color theme="1"/>
        <rFont val="宋体"/>
        <family val="3"/>
        <charset val="134"/>
        <scheme val="minor"/>
      </rPr>
      <t>-3</t>
    </r>
  </si>
  <si>
    <t>钢筋</t>
  </si>
  <si>
    <t>九五</t>
  </si>
  <si>
    <t>写字楼</t>
  </si>
  <si>
    <r>
      <t>二层2</t>
    </r>
    <r>
      <rPr>
        <sz val="11"/>
        <color theme="1"/>
        <rFont val="宋体"/>
        <family val="3"/>
        <charset val="134"/>
        <scheme val="minor"/>
      </rPr>
      <t>-6</t>
    </r>
  </si>
  <si>
    <t>三层2-8</t>
  </si>
  <si>
    <t>四层2-10</t>
  </si>
  <si>
    <t>五-六层2-12</t>
  </si>
  <si>
    <t>八层2-14</t>
  </si>
  <si>
    <t>地下一层7-2</t>
  </si>
  <si>
    <t>歌厅</t>
  </si>
  <si>
    <t>地下二层7-4</t>
  </si>
  <si>
    <t>办公、停车场</t>
  </si>
  <si>
    <t>地下三层7-6</t>
  </si>
  <si>
    <t>库房</t>
  </si>
  <si>
    <t>合计</t>
  </si>
  <si>
    <t>地上面积</t>
  </si>
  <si>
    <t>地下面积</t>
  </si>
  <si>
    <t>办公面积合计</t>
  </si>
  <si>
    <t>抵押</t>
  </si>
  <si>
    <t>房地产抵押价值</t>
  </si>
  <si>
    <t>北京市</t>
  </si>
  <si>
    <t>企业</t>
  </si>
  <si>
    <t>北京铜牛集团有限公司</t>
    <phoneticPr fontId="4" type="noConversion"/>
  </si>
  <si>
    <r>
      <rPr>
        <sz val="10"/>
        <color theme="9" tint="-0.249977111117893"/>
        <rFont val="宋体"/>
        <family val="3"/>
        <charset val="134"/>
      </rPr>
      <t>东城区朝阳门北大街</t>
    </r>
    <r>
      <rPr>
        <sz val="10"/>
        <color theme="9" tint="-0.249977111117893"/>
        <rFont val="Arial"/>
        <family val="2"/>
      </rPr>
      <t>8</t>
    </r>
    <r>
      <rPr>
        <sz val="10"/>
        <color theme="9" tint="-0.249977111117893"/>
        <rFont val="宋体"/>
        <family val="3"/>
        <charset val="134"/>
      </rPr>
      <t>号</t>
    </r>
    <phoneticPr fontId="4" type="noConversion"/>
  </si>
  <si>
    <t>是</t>
  </si>
  <si>
    <t>否</t>
  </si>
  <si>
    <t>办公项目</t>
  </si>
  <si>
    <t>现房</t>
  </si>
  <si>
    <t>地上</t>
  </si>
  <si>
    <t>地下</t>
  </si>
  <si>
    <t>办公</t>
    <phoneticPr fontId="8" type="noConversion"/>
  </si>
  <si>
    <t>成新度</t>
  </si>
  <si>
    <t>建成年代</t>
    <phoneticPr fontId="4" type="noConversion"/>
  </si>
  <si>
    <t>依据产权证</t>
    <phoneticPr fontId="4" type="noConversion"/>
  </si>
  <si>
    <t>直线</t>
    <phoneticPr fontId="4" type="noConversion"/>
  </si>
  <si>
    <t>观察</t>
    <phoneticPr fontId="4" type="noConversion"/>
  </si>
  <si>
    <t>综合</t>
    <phoneticPr fontId="4" type="noConversion"/>
  </si>
  <si>
    <t>收益法</t>
  </si>
  <si>
    <t>东直门街道</t>
    <phoneticPr fontId="4" type="noConversion"/>
  </si>
  <si>
    <t>好</t>
  </si>
  <si>
    <t>宗地容积率</t>
  </si>
  <si>
    <t>与级别开发程度不一致</t>
  </si>
  <si>
    <t>通路</t>
  </si>
  <si>
    <t>通电</t>
  </si>
  <si>
    <t>通讯</t>
  </si>
  <si>
    <t>通上水</t>
  </si>
  <si>
    <t>通下水</t>
  </si>
  <si>
    <t>平整</t>
  </si>
  <si>
    <t>按公示增长率计算</t>
  </si>
  <si>
    <t>中心城区</t>
  </si>
  <si>
    <t>容积率修正</t>
  </si>
  <si>
    <t>含税</t>
  </si>
  <si>
    <t>未包含在土地购买价格中</t>
  </si>
  <si>
    <t>已包含在土地取得成本中</t>
  </si>
  <si>
    <t>全部缴纳</t>
  </si>
  <si>
    <t>押一</t>
  </si>
  <si>
    <t>按不含税租金收入（有效毛租金收入）计税</t>
  </si>
  <si>
    <t>钢混</t>
  </si>
  <si>
    <t>非生产用房</t>
  </si>
  <si>
    <t>项目模式</t>
  </si>
  <si>
    <t>售价</t>
  </si>
  <si>
    <t>不含税</t>
  </si>
  <si>
    <t>富华大厦</t>
    <phoneticPr fontId="4" type="noConversion"/>
  </si>
  <si>
    <t>北京市朝阳区创远路</t>
    <phoneticPr fontId="4" type="noConversion"/>
  </si>
  <si>
    <t>北京市丰台区槐房西路9号院</t>
    <phoneticPr fontId="4" type="noConversion"/>
  </si>
  <si>
    <t>正常</t>
  </si>
  <si>
    <t>办公</t>
    <phoneticPr fontId="32" type="noConversion"/>
  </si>
  <si>
    <r>
      <rPr>
        <sz val="11"/>
        <rFont val="宋体"/>
        <family val="3"/>
        <charset val="134"/>
      </rPr>
      <t>临次干道</t>
    </r>
    <r>
      <rPr>
        <sz val="11"/>
        <rFont val="Arial"/>
        <family val="2"/>
      </rPr>
      <t>——</t>
    </r>
    <r>
      <rPr>
        <sz val="11"/>
        <rFont val="宋体"/>
        <family val="3"/>
        <charset val="134"/>
      </rPr>
      <t>槐房西路，公交专</t>
    </r>
    <r>
      <rPr>
        <sz val="11"/>
        <rFont val="Arial"/>
        <family val="2"/>
      </rPr>
      <t>59</t>
    </r>
    <r>
      <rPr>
        <sz val="11"/>
        <rFont val="宋体"/>
        <family val="3"/>
        <charset val="134"/>
      </rPr>
      <t>、</t>
    </r>
    <r>
      <rPr>
        <sz val="11"/>
        <rFont val="Arial"/>
        <family val="2"/>
      </rPr>
      <t>353</t>
    </r>
    <r>
      <rPr>
        <sz val="11"/>
        <rFont val="宋体"/>
        <family val="3"/>
        <charset val="134"/>
      </rPr>
      <t>、</t>
    </r>
    <r>
      <rPr>
        <sz val="11"/>
        <rFont val="Arial"/>
        <family val="2"/>
      </rPr>
      <t>354</t>
    </r>
    <r>
      <rPr>
        <sz val="11"/>
        <rFont val="宋体"/>
        <family val="3"/>
        <charset val="134"/>
      </rPr>
      <t>，距地铁</t>
    </r>
    <r>
      <rPr>
        <sz val="11"/>
        <rFont val="Arial"/>
        <family val="2"/>
      </rPr>
      <t>19</t>
    </r>
    <r>
      <rPr>
        <sz val="11"/>
        <rFont val="宋体"/>
        <family val="3"/>
        <charset val="134"/>
      </rPr>
      <t>号线、</t>
    </r>
    <r>
      <rPr>
        <sz val="11"/>
        <rFont val="Arial"/>
        <family val="2"/>
      </rPr>
      <t>4</t>
    </r>
    <r>
      <rPr>
        <sz val="11"/>
        <rFont val="宋体"/>
        <family val="3"/>
        <charset val="134"/>
      </rPr>
      <t>号线新宫站约</t>
    </r>
    <r>
      <rPr>
        <sz val="11"/>
        <rFont val="Arial"/>
        <family val="2"/>
      </rPr>
      <t>296</t>
    </r>
    <r>
      <rPr>
        <sz val="11"/>
        <rFont val="宋体"/>
        <family val="3"/>
        <charset val="134"/>
      </rPr>
      <t>米</t>
    </r>
    <phoneticPr fontId="32" type="noConversion"/>
  </si>
  <si>
    <t>位于南四环外，周边有中瑞方正写字楼等办公项目</t>
    <phoneticPr fontId="32" type="noConversion"/>
  </si>
  <si>
    <t>位于北五环外，周边有乐华大厦、望京诚盈中心、东方国信大厦等办公项目</t>
    <phoneticPr fontId="32" type="noConversion"/>
  </si>
  <si>
    <t>商业（新宫商业二街、万达广场）、银行（北京农商银行、中国光大银行），学校（新开路幼儿园、丰台区槐房小学、北京教育科学研究院丰台学校（中学部））</t>
    <phoneticPr fontId="32" type="noConversion"/>
  </si>
  <si>
    <t>商业（北京望京万象汇），银行（招商银行、北京农商银行、上海银行），学校（北京市朝阳区教育国资中心幼儿园、北京市陈经纶中学分校小学部、北京第八十中学）</t>
    <phoneticPr fontId="32" type="noConversion"/>
  </si>
  <si>
    <t>自然：南苑公园、槐新公园；人文：无</t>
    <phoneticPr fontId="32" type="noConversion"/>
  </si>
  <si>
    <t>自然：善各庄公园、来广营艺术园；人文：首都师范大学（来广营校区）</t>
    <phoneticPr fontId="32" type="noConversion"/>
  </si>
  <si>
    <t>写字楼</t>
    <phoneticPr fontId="4" type="noConversion"/>
  </si>
  <si>
    <t>综合体</t>
    <phoneticPr fontId="135" type="noConversion"/>
  </si>
  <si>
    <t>钢混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</si>
  <si>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</si>
  <si>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</si>
  <si>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</si>
  <si>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</si>
  <si>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</si>
  <si>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</si>
  <si>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</si>
  <si>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未评级</t>
    <phoneticPr fontId="4" type="noConversion"/>
  </si>
  <si>
    <t>专业</t>
    <phoneticPr fontId="4" type="noConversion"/>
  </si>
  <si>
    <t>普通</t>
    <phoneticPr fontId="4" type="noConversion"/>
  </si>
  <si>
    <t>自管</t>
    <phoneticPr fontId="4" type="noConversion"/>
  </si>
  <si>
    <t>七通</t>
    <phoneticPr fontId="4" type="noConversion"/>
  </si>
  <si>
    <t>六通</t>
    <phoneticPr fontId="4" type="noConversion"/>
  </si>
  <si>
    <t>五通</t>
    <phoneticPr fontId="4" type="noConversion"/>
  </si>
  <si>
    <t>标准层高</t>
    <phoneticPr fontId="4" type="noConversion"/>
  </si>
  <si>
    <t>地下面积占比</t>
    <phoneticPr fontId="32" type="noConversion"/>
  </si>
  <si>
    <t>精装修</t>
  </si>
  <si>
    <t>专业</t>
  </si>
  <si>
    <t>乐华大厦（原望京华樾中心二期）B座</t>
  </si>
  <si>
    <t>商业办公</t>
  </si>
  <si>
    <t>商业办公</t>
    <phoneticPr fontId="32" type="noConversion"/>
  </si>
  <si>
    <t>新景商务楼</t>
  </si>
  <si>
    <r>
      <t>10-20</t>
    </r>
    <r>
      <rPr>
        <sz val="11"/>
        <color indexed="8"/>
        <rFont val="宋体"/>
        <family val="3"/>
        <charset val="134"/>
      </rPr>
      <t>（含）</t>
    </r>
    <phoneticPr fontId="32" type="noConversion"/>
  </si>
  <si>
    <t>30-40（含）</t>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</si>
  <si>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</si>
  <si>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</si>
  <si>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30-40</t>
    </r>
    <r>
      <rPr>
        <sz val="11"/>
        <rFont val="宋体"/>
        <family val="3"/>
        <charset val="134"/>
      </rPr>
      <t>（含）</t>
    </r>
    <phoneticPr fontId="32" type="noConversion"/>
  </si>
  <si>
    <r>
      <t>20-30</t>
    </r>
    <r>
      <rPr>
        <sz val="11"/>
        <rFont val="宋体"/>
        <family val="3"/>
        <charset val="134"/>
      </rPr>
      <t>（含）</t>
    </r>
    <phoneticPr fontId="32" type="noConversion"/>
  </si>
  <si>
    <r>
      <t>40-50</t>
    </r>
    <r>
      <rPr>
        <sz val="11"/>
        <rFont val="宋体"/>
        <family val="3"/>
        <charset val="134"/>
      </rPr>
      <t>（含）</t>
    </r>
    <phoneticPr fontId="32" type="noConversion"/>
  </si>
  <si>
    <t>标准层高</t>
  </si>
  <si>
    <t>毛坯或遗留装修</t>
  </si>
  <si>
    <t>毛坯或遗留装修</t>
    <phoneticPr fontId="4" type="noConversion"/>
  </si>
  <si>
    <t>10-20%</t>
    <phoneticPr fontId="4" type="noConversion"/>
  </si>
  <si>
    <t>20-30%</t>
    <phoneticPr fontId="32" type="noConversion"/>
  </si>
  <si>
    <t>0-10%</t>
    <phoneticPr fontId="32" type="noConversion"/>
  </si>
  <si>
    <t>10-20%</t>
    <phoneticPr fontId="32" type="noConversion"/>
  </si>
  <si>
    <t>0-10%</t>
    <phoneticPr fontId="4" type="noConversion"/>
  </si>
  <si>
    <t>20-30%</t>
    <phoneticPr fontId="4" type="noConversion"/>
  </si>
  <si>
    <t>30-40%</t>
    <phoneticPr fontId="4" type="noConversion"/>
  </si>
  <si>
    <t>40-50%</t>
    <phoneticPr fontId="135"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</si>
  <si>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</si>
  <si>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</si>
  <si>
    <t>主干道</t>
    <phoneticPr fontId="32" type="noConversion"/>
  </si>
  <si>
    <t>次干道</t>
  </si>
  <si>
    <t>次干道</t>
    <phoneticPr fontId="32" type="noConversion"/>
  </si>
  <si>
    <t>支路</t>
    <phoneticPr fontId="32" type="noConversion"/>
  </si>
  <si>
    <t>自然环境：东单公园、三里河公园；人文环境：中国海关博物馆、天坛公园、北京警察博物馆</t>
    <phoneticPr fontId="32" type="noConversion"/>
  </si>
  <si>
    <t>位于二环内，周边有新成文化大厦、大康大厦、哈德门广场等办公项目</t>
    <phoneticPr fontId="32" type="noConversion"/>
  </si>
  <si>
    <r>
      <rPr>
        <sz val="11"/>
        <rFont val="宋体"/>
        <family val="3"/>
        <charset val="134"/>
      </rPr>
      <t>临主干道——珠市口大街，公交</t>
    </r>
    <r>
      <rPr>
        <sz val="11"/>
        <rFont val="Arial"/>
        <family val="2"/>
      </rPr>
      <t>39</t>
    </r>
    <r>
      <rPr>
        <sz val="11"/>
        <rFont val="宋体"/>
        <family val="3"/>
        <charset val="134"/>
      </rPr>
      <t>、</t>
    </r>
    <r>
      <rPr>
        <sz val="11"/>
        <rFont val="Arial"/>
        <family val="2"/>
      </rPr>
      <t>41</t>
    </r>
    <r>
      <rPr>
        <sz val="11"/>
        <rFont val="宋体"/>
        <family val="3"/>
        <charset val="134"/>
      </rPr>
      <t>、</t>
    </r>
    <r>
      <rPr>
        <sz val="11"/>
        <rFont val="Arial"/>
        <family val="2"/>
      </rPr>
      <t>60</t>
    </r>
    <r>
      <rPr>
        <sz val="11"/>
        <rFont val="宋体"/>
        <family val="3"/>
        <charset val="134"/>
      </rPr>
      <t>、</t>
    </r>
    <r>
      <rPr>
        <sz val="11"/>
        <rFont val="Arial"/>
        <family val="2"/>
      </rPr>
      <t>84</t>
    </r>
    <r>
      <rPr>
        <sz val="11"/>
        <rFont val="宋体"/>
        <family val="3"/>
        <charset val="134"/>
      </rPr>
      <t>、</t>
    </r>
    <r>
      <rPr>
        <sz val="11"/>
        <rFont val="Arial"/>
        <family val="2"/>
      </rPr>
      <t>106</t>
    </r>
    <r>
      <rPr>
        <sz val="11"/>
        <rFont val="宋体"/>
        <family val="3"/>
        <charset val="134"/>
      </rPr>
      <t>，距地铁</t>
    </r>
    <r>
      <rPr>
        <sz val="11"/>
        <rFont val="Arial"/>
        <family val="2"/>
      </rPr>
      <t>5</t>
    </r>
    <r>
      <rPr>
        <sz val="11"/>
        <rFont val="宋体"/>
        <family val="3"/>
        <charset val="134"/>
      </rPr>
      <t>号线、</t>
    </r>
    <r>
      <rPr>
        <sz val="11"/>
        <rFont val="Arial"/>
        <family val="2"/>
      </rPr>
      <t>7</t>
    </r>
    <r>
      <rPr>
        <sz val="11"/>
        <rFont val="宋体"/>
        <family val="3"/>
        <charset val="134"/>
      </rPr>
      <t>号线磁器口站约</t>
    </r>
    <r>
      <rPr>
        <sz val="11"/>
        <rFont val="Arial"/>
        <family val="2"/>
      </rPr>
      <t>77</t>
    </r>
    <r>
      <rPr>
        <sz val="11"/>
        <rFont val="宋体"/>
        <family val="3"/>
        <charset val="134"/>
      </rPr>
      <t>米</t>
    </r>
    <phoneticPr fontId="32" type="noConversion"/>
  </si>
  <si>
    <t>商业（新世界百货、国瑞购物中心）、银行（建行、邮政、招商）、学校（永定门幼儿园、崇文小学、北京市第九十六中学）</t>
    <phoneticPr fontId="32" type="noConversion"/>
  </si>
  <si>
    <t>高速路/快速路</t>
  </si>
  <si>
    <t>东二环、朝阳门北大街</t>
    <phoneticPr fontId="32" type="noConversion"/>
  </si>
  <si>
    <t>珠市口大街</t>
    <phoneticPr fontId="32" type="noConversion"/>
  </si>
  <si>
    <r>
      <rPr>
        <sz val="11"/>
        <color theme="9" tint="-0.249977111117893"/>
        <rFont val="宋体"/>
        <family val="3"/>
        <charset val="134"/>
      </rPr>
      <t>大悦时代广场</t>
    </r>
    <r>
      <rPr>
        <sz val="11"/>
        <color theme="9" tint="-0.249977111117893"/>
        <rFont val="Arial"/>
        <family val="2"/>
      </rPr>
      <t>(</t>
    </r>
    <r>
      <rPr>
        <sz val="11"/>
        <color theme="9" tint="-0.249977111117893"/>
        <rFont val="宋体"/>
        <family val="3"/>
        <charset val="134"/>
      </rPr>
      <t>悦荣中心</t>
    </r>
    <r>
      <rPr>
        <sz val="11"/>
        <color theme="9" tint="-0.249977111117893"/>
        <rFont val="Arial"/>
        <family val="2"/>
      </rPr>
      <t>)7</t>
    </r>
    <r>
      <rPr>
        <sz val="11"/>
        <color theme="9" tint="-0.249977111117893"/>
        <rFont val="宋体"/>
        <family val="3"/>
        <charset val="134"/>
      </rPr>
      <t>号楼</t>
    </r>
    <phoneticPr fontId="32" type="noConversion"/>
  </si>
  <si>
    <t>槐房西路</t>
    <phoneticPr fontId="32" type="noConversion"/>
  </si>
  <si>
    <t>创远路</t>
    <phoneticPr fontId="32" type="noConversion"/>
  </si>
  <si>
    <r>
      <rPr>
        <sz val="11"/>
        <rFont val="宋体"/>
        <family val="3"/>
        <charset val="134"/>
      </rPr>
      <t>临城市次干道</t>
    </r>
    <r>
      <rPr>
        <sz val="11"/>
        <rFont val="Arial"/>
        <family val="2"/>
      </rPr>
      <t>——</t>
    </r>
    <r>
      <rPr>
        <sz val="11"/>
        <rFont val="宋体"/>
        <family val="3"/>
        <charset val="134"/>
      </rPr>
      <t>创远路，公交：</t>
    </r>
    <r>
      <rPr>
        <sz val="11"/>
        <rFont val="Arial"/>
        <family val="2"/>
      </rPr>
      <t>415</t>
    </r>
    <r>
      <rPr>
        <sz val="11"/>
        <rFont val="宋体"/>
        <family val="3"/>
        <charset val="134"/>
      </rPr>
      <t>、</t>
    </r>
    <r>
      <rPr>
        <sz val="11"/>
        <rFont val="Arial"/>
        <family val="2"/>
      </rPr>
      <t>944</t>
    </r>
    <r>
      <rPr>
        <sz val="11"/>
        <rFont val="宋体"/>
        <family val="3"/>
        <charset val="134"/>
      </rPr>
      <t>、</t>
    </r>
    <r>
      <rPr>
        <sz val="11"/>
        <rFont val="Arial"/>
        <family val="2"/>
      </rPr>
      <t>991</t>
    </r>
    <r>
      <rPr>
        <sz val="11"/>
        <rFont val="宋体"/>
        <family val="3"/>
        <charset val="134"/>
      </rPr>
      <t>，距地铁</t>
    </r>
    <r>
      <rPr>
        <sz val="11"/>
        <rFont val="Arial"/>
        <family val="2"/>
      </rPr>
      <t>14</t>
    </r>
    <r>
      <rPr>
        <sz val="11"/>
        <rFont val="宋体"/>
        <family val="3"/>
        <charset val="134"/>
      </rPr>
      <t>号线善各庄站约</t>
    </r>
    <r>
      <rPr>
        <sz val="11"/>
        <rFont val="Arial"/>
        <family val="2"/>
      </rPr>
      <t>255</t>
    </r>
    <r>
      <rPr>
        <sz val="11"/>
        <rFont val="宋体"/>
        <family val="3"/>
        <charset val="134"/>
      </rPr>
      <t>米</t>
    </r>
    <phoneticPr fontId="32" type="noConversion"/>
  </si>
  <si>
    <t>承租方
名称/姓名</t>
  </si>
  <si>
    <t>付款方式</t>
  </si>
  <si>
    <t>租赁位置</t>
  </si>
  <si>
    <t>租赁面积</t>
  </si>
  <si>
    <t>租金标准
(年)</t>
  </si>
  <si>
    <t>租金水平
(元/平方米*天)</t>
  </si>
  <si>
    <t>租金递增约定</t>
  </si>
  <si>
    <t>租赁合同
起止时间</t>
  </si>
  <si>
    <t>承租方名称</t>
  </si>
  <si>
    <t>押X付X</t>
  </si>
  <si>
    <t>房号</t>
  </si>
  <si>
    <t>㎡</t>
  </si>
  <si>
    <t>年租金</t>
  </si>
  <si>
    <t>租金单价</t>
  </si>
  <si>
    <t>递增比例</t>
  </si>
  <si>
    <t>递增日期</t>
  </si>
  <si>
    <t>XXXX.X.XX-XXXX.X.XX</t>
  </si>
  <si>
    <t>北京富华名赫餐饮娱乐有限公司</t>
  </si>
  <si>
    <t>押2付2</t>
  </si>
  <si>
    <t>B1</t>
  </si>
  <si>
    <t>2023.11.16-2028.11.15</t>
  </si>
  <si>
    <t>北京罗松商贸有限公司</t>
  </si>
  <si>
    <t>押3付3</t>
  </si>
  <si>
    <t>1B</t>
  </si>
  <si>
    <t>2025.7.1-2027.6.30</t>
  </si>
  <si>
    <t>中信银行股份有限公司</t>
  </si>
  <si>
    <t>押0付3</t>
  </si>
  <si>
    <t>1C</t>
  </si>
  <si>
    <t>2021.6.1-2026.5.31</t>
  </si>
  <si>
    <t>北京科景凯新测试技术有限公司</t>
  </si>
  <si>
    <t>押3付1</t>
  </si>
  <si>
    <t>2A-2</t>
  </si>
  <si>
    <t>2025.1.1</t>
  </si>
  <si>
    <t>2023.1.1-2027.12.31</t>
  </si>
  <si>
    <t>特易得（北京）人力资源管理有限公司</t>
  </si>
  <si>
    <t>2A-3</t>
  </si>
  <si>
    <t>2025.1.1-2026.12.31</t>
  </si>
  <si>
    <t>北京博达汇金企业管理有限公司</t>
  </si>
  <si>
    <t>2A-4</t>
  </si>
  <si>
    <t>北京中友永信企业管理有限公司</t>
  </si>
  <si>
    <t>2A-5</t>
  </si>
  <si>
    <t>浙商证券股份有限公司</t>
  </si>
  <si>
    <t>押3付6</t>
  </si>
  <si>
    <t>2B</t>
  </si>
  <si>
    <t>2026.5.5</t>
  </si>
  <si>
    <t>2014.5.5-2027.5.4</t>
  </si>
  <si>
    <t>北京市中友律师事务所</t>
  </si>
  <si>
    <t>2C-1</t>
  </si>
  <si>
    <t>2025.1.1-2026.12.33</t>
  </si>
  <si>
    <t>中友蓝蜂（北京）管理咨询有限公司</t>
  </si>
  <si>
    <t>2C-2</t>
  </si>
  <si>
    <t>2026.1.1</t>
  </si>
  <si>
    <t>2024.1.1-2026.12.31</t>
  </si>
  <si>
    <t>北京印彩领航图文快印有限公司</t>
  </si>
  <si>
    <t>押2付3</t>
  </si>
  <si>
    <t>2D</t>
  </si>
  <si>
    <t>2023.12.6-2028.12.5</t>
  </si>
  <si>
    <t>北京市东卫律师事务所</t>
  </si>
  <si>
    <t>押2付1</t>
  </si>
  <si>
    <t>3Abcd</t>
  </si>
  <si>
    <t>2024.7.1-2026.6.30</t>
  </si>
  <si>
    <t> 北京通顺信达汽车租赁有限公司 </t>
  </si>
  <si>
    <t>4A-1-2</t>
  </si>
  <si>
    <t>2024.6.10-2026.6.9</t>
  </si>
  <si>
    <t>北京财富友邦国际教育科技有限公司</t>
  </si>
  <si>
    <t>4A-3</t>
  </si>
  <si>
    <t>北京安吉瑞得矿业技术有限公司</t>
  </si>
  <si>
    <t>4A南</t>
  </si>
  <si>
    <t>2025.11.7-2027.11.6</t>
  </si>
  <si>
    <t>北京希肯琵雅国际文化发展股份有限公司</t>
  </si>
  <si>
    <t>4B-1</t>
  </si>
  <si>
    <t>2022.3.15-2026.3.14</t>
  </si>
  <si>
    <t>仙童国际戏剧文化（北京）有限公司</t>
  </si>
  <si>
    <t>4B-2</t>
  </si>
  <si>
    <t>北京售放传媒广告有限公司</t>
  </si>
  <si>
    <t>4B-3</t>
  </si>
  <si>
    <t>北京希肯国际文化艺术有限公司</t>
  </si>
  <si>
    <t>4B-4</t>
  </si>
  <si>
    <t>5A、5B、5D</t>
  </si>
  <si>
    <t>2022.5.10-2027.5.9</t>
  </si>
  <si>
    <t>上海华诚知识产权代理有限公司</t>
  </si>
  <si>
    <t>5C</t>
  </si>
  <si>
    <t>2027.2.1</t>
  </si>
  <si>
    <t>2024.2.1-2029.1.31</t>
  </si>
  <si>
    <t>帕萨旺洛蒂格能源环境技术（北京）有限公司</t>
  </si>
  <si>
    <t>6E</t>
  </si>
  <si>
    <t>2027.7.1</t>
  </si>
  <si>
    <t>2025.7.1-2028.6.30</t>
  </si>
  <si>
    <t>6B</t>
  </si>
  <si>
    <t>2024.5.15</t>
  </si>
  <si>
    <t>2021.5.15-2026.5.14</t>
  </si>
  <si>
    <t>6C</t>
  </si>
  <si>
    <t>2024.6.1</t>
  </si>
  <si>
    <t>2022.6.1-2026.5.31</t>
  </si>
  <si>
    <t>6D</t>
  </si>
  <si>
    <t>2023.6.1-2027.5.31</t>
  </si>
  <si>
    <t>中国电信股份有限公司北京分公司</t>
  </si>
  <si>
    <t>押0付12</t>
  </si>
  <si>
    <t>B2</t>
  </si>
  <si>
    <t>2024.5.8-2029.5.7</t>
  </si>
  <si>
    <t>B2-2</t>
  </si>
  <si>
    <t>2024.4.15-2026.4.14</t>
  </si>
  <si>
    <t>B3-1</t>
  </si>
  <si>
    <t>2025.6.15-2027.6.14</t>
  </si>
  <si>
    <t>中保华安（上海）保安服务有限公司北京分公司</t>
  </si>
  <si>
    <t>B3-5</t>
  </si>
  <si>
    <t>2024.10.1-2026.9.30</t>
  </si>
  <si>
    <t>中和资产评估有限公司</t>
  </si>
  <si>
    <t>B3-6-8</t>
  </si>
  <si>
    <t>B3-9</t>
  </si>
  <si>
    <t>2025.6.1-2027.5.31</t>
  </si>
  <si>
    <t>B3-10-12</t>
  </si>
  <si>
    <t>2025.8.1.-2027.5.31</t>
  </si>
  <si>
    <t>胡雨晴</t>
  </si>
  <si>
    <t>大堂-2</t>
  </si>
  <si>
    <t>2025.6.1</t>
  </si>
  <si>
    <t>2023.6.1-2026.5.31</t>
  </si>
  <si>
    <t>北京竞阅教育科技有限公司</t>
  </si>
  <si>
    <t>6A</t>
  </si>
  <si>
    <t>2025.8.15</t>
  </si>
  <si>
    <t>2023.8.15-2026.8.14</t>
  </si>
  <si>
    <t>北京丽之颜美容有限公司</t>
  </si>
  <si>
    <t>8G-1</t>
  </si>
  <si>
    <t>2025.10.1</t>
  </si>
  <si>
    <t>2023.10.1-2026.9.31</t>
  </si>
  <si>
    <t>北京鸿运锦鲤科技有限公司</t>
  </si>
  <si>
    <t>4D</t>
  </si>
  <si>
    <t>2024.6.15-2026.6.14</t>
  </si>
  <si>
    <t>全含</t>
    <phoneticPr fontId="135" type="noConversion"/>
  </si>
  <si>
    <t>不含税</t>
    <phoneticPr fontId="135" type="noConversion"/>
  </si>
  <si>
    <t>仅含税</t>
    <phoneticPr fontId="135" type="noConversion"/>
  </si>
  <si>
    <t>地上办公</t>
    <phoneticPr fontId="4" type="noConversion"/>
  </si>
  <si>
    <t>地下办公</t>
    <phoneticPr fontId="4" type="noConversion"/>
  </si>
  <si>
    <t>地下车位</t>
    <phoneticPr fontId="4" type="noConversion"/>
  </si>
  <si>
    <r>
      <rPr>
        <sz val="10"/>
        <color indexed="8"/>
        <rFont val="宋体"/>
        <family val="3"/>
        <charset val="134"/>
      </rPr>
      <t>地下车位</t>
    </r>
    <r>
      <rPr>
        <sz val="10"/>
        <color indexed="8"/>
        <rFont val="Arial"/>
        <family val="2"/>
      </rPr>
      <t>1000/</t>
    </r>
    <r>
      <rPr>
        <sz val="10"/>
        <color indexed="8"/>
        <rFont val="宋体"/>
        <family val="3"/>
        <charset val="134"/>
      </rPr>
      <t>月</t>
    </r>
    <phoneticPr fontId="4" type="noConversion"/>
  </si>
  <si>
    <t>面积</t>
    <phoneticPr fontId="4" type="noConversion"/>
  </si>
  <si>
    <t>系数</t>
    <phoneticPr fontId="4" type="noConversion"/>
  </si>
  <si>
    <r>
      <rPr>
        <sz val="10"/>
        <color indexed="8"/>
        <rFont val="宋体"/>
        <family val="3"/>
        <charset val="134"/>
      </rPr>
      <t>地下车位面积</t>
    </r>
    <r>
      <rPr>
        <sz val="10"/>
        <color indexed="8"/>
        <rFont val="Arial"/>
        <family val="2"/>
      </rPr>
      <t>917.51</t>
    </r>
    <r>
      <rPr>
        <sz val="10"/>
        <color indexed="8"/>
        <rFont val="宋体"/>
        <family val="3"/>
        <charset val="134"/>
      </rPr>
      <t>，设定</t>
    </r>
    <r>
      <rPr>
        <sz val="10"/>
        <color indexed="8"/>
        <rFont val="Arial"/>
        <family val="2"/>
      </rPr>
      <t>50</t>
    </r>
    <r>
      <rPr>
        <sz val="10"/>
        <color indexed="8"/>
        <rFont val="宋体"/>
        <family val="3"/>
        <charset val="134"/>
      </rPr>
      <t>平方米一个车位</t>
    </r>
    <phoneticPr fontId="4" type="noConversion"/>
  </si>
  <si>
    <t>比较法-办公</t>
  </si>
  <si>
    <r>
      <t>2025</t>
    </r>
    <r>
      <rPr>
        <sz val="10"/>
        <color indexed="8"/>
        <rFont val="宋体"/>
        <family val="3"/>
        <charset val="134"/>
      </rPr>
      <t>年预评单价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</si>
  <si>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</si>
  <si>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万元</t>
    <phoneticPr fontId="9" type="noConversion"/>
  </si>
  <si>
    <t>总价</t>
  </si>
  <si>
    <t>总价</t>
    <phoneticPr fontId="9" type="noConversion"/>
  </si>
  <si>
    <r>
      <rPr>
        <sz val="10"/>
        <color indexed="8"/>
        <rFont val="宋体"/>
        <family val="3"/>
        <charset val="134"/>
      </rPr>
      <t>比较</t>
    </r>
    <r>
      <rPr>
        <sz val="10"/>
        <color indexed="8"/>
        <rFont val="Arial"/>
        <family val="2"/>
      </rPr>
      <t>+</t>
    </r>
    <r>
      <rPr>
        <sz val="10"/>
        <color indexed="8"/>
        <rFont val="宋体"/>
        <family val="3"/>
        <charset val="134"/>
      </rPr>
      <t>成本</t>
    </r>
    <phoneticPr fontId="9"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</si>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</sst>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1][$-804]yyyy&quot;年&quot;m&quot;月&quot;d&quot;日&quot;;@"/>
  </numFmts>
  <fonts count="30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name val="Arial"/>
      <family val="3"/>
      <charset val="134"/>
    </font>
    <font>
      <sz val="12"/>
      <color theme="1"/>
      <name val="楷体_GB2312"/>
      <family val="3"/>
      <charset val="134"/>
    </font>
    <font>
      <sz val="11"/>
      <color indexed="8"/>
      <name val="Arial"/>
      <family val="3"/>
      <charset val="134"/>
    </font>
    <font>
      <sz val="11"/>
      <color theme="9" tint="-0.249977111117893"/>
      <name val="Arial"/>
      <family val="3"/>
      <charset val="134"/>
    </font>
    <font>
      <sz val="10"/>
      <color theme="1"/>
      <name val="楷体_GB2312"/>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thin">
        <color rgb="FF000000"/>
      </right>
      <top style="thin">
        <color auto="1"/>
      </top>
      <bottom/>
      <diagonal/>
    </border>
    <border>
      <left/>
      <right style="thin">
        <color indexed="8"/>
      </right>
      <top style="thin">
        <color auto="1"/>
      </top>
      <bottom/>
      <diagonal/>
    </border>
    <border>
      <left/>
      <right style="thin">
        <color auto="1"/>
      </right>
      <top style="thin">
        <color auto="1"/>
      </top>
      <bottom/>
      <diagonal/>
    </border>
    <border>
      <left/>
      <right style="thin">
        <color rgb="FF000000"/>
      </right>
      <top/>
      <bottom style="thin">
        <color auto="1"/>
      </bottom>
      <diagonal/>
    </border>
    <border>
      <left/>
      <right style="thin">
        <color indexed="8"/>
      </right>
      <top/>
      <bottom style="thin">
        <color auto="1"/>
      </bottom>
      <diagonal/>
    </border>
    <border>
      <left/>
      <right style="thin">
        <color auto="1"/>
      </right>
      <top/>
      <bottom style="thin">
        <color auto="1"/>
      </bottom>
      <diagonal/>
    </border>
  </borders>
  <cellStyleXfs count="3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9" fontId="96" fillId="0" borderId="0" applyFont="0" applyFill="0" applyBorder="0" applyAlignment="0" applyProtection="0">
      <alignment vertical="center"/>
    </xf>
    <xf numFmtId="195" fontId="96" fillId="0" borderId="0">
      <alignment vertical="center"/>
    </xf>
    <xf numFmtId="0" fontId="1" fillId="0" borderId="0"/>
    <xf numFmtId="9" fontId="96" fillId="0" borderId="0" applyFont="0" applyFill="0" applyBorder="0" applyAlignment="0" applyProtection="0">
      <alignment vertical="center"/>
    </xf>
    <xf numFmtId="41" fontId="96" fillId="0" borderId="0" applyFont="0" applyFill="0" applyBorder="0" applyAlignment="0" applyProtection="0">
      <alignment vertical="center"/>
    </xf>
    <xf numFmtId="43" fontId="129" fillId="0" borderId="0" applyFont="0" applyFill="0" applyBorder="0" applyAlignment="0" applyProtection="0">
      <alignment vertical="center"/>
    </xf>
    <xf numFmtId="0" fontId="37" fillId="0" borderId="0"/>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96" fillId="0" borderId="0"/>
  </cellStyleXfs>
  <cellXfs count="474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5" borderId="24" xfId="0" applyFont="1" applyFill="1" applyBorder="1">
      <alignmen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0" fontId="96" fillId="0" borderId="0" xfId="18">
      <alignment vertical="center"/>
    </xf>
    <xf numFmtId="0" fontId="96" fillId="0" borderId="1" xfId="18" applyBorder="1">
      <alignment vertical="center"/>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85" fontId="140" fillId="3" borderId="3" xfId="0" applyNumberFormat="1" applyFont="1" applyFill="1" applyBorder="1" applyProtection="1">
      <alignment vertical="center"/>
      <protection locked="0"/>
    </xf>
    <xf numFmtId="0" fontId="129" fillId="0" borderId="51" xfId="0" applyFont="1" applyBorder="1" applyAlignment="1" applyProtection="1">
      <alignment horizontal="center" vertical="center" wrapText="1"/>
      <protection locked="0"/>
    </xf>
    <xf numFmtId="49" fontId="294" fillId="0" borderId="35" xfId="0" applyNumberFormat="1"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49" fontId="294" fillId="0" borderId="14" xfId="0" applyNumberFormat="1"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4" xfId="0" applyNumberFormat="1" applyFont="1" applyBorder="1" applyAlignment="1" applyProtection="1">
      <alignment horizontal="center" vertical="center" wrapText="1"/>
      <protection locked="0"/>
    </xf>
    <xf numFmtId="0" fontId="296"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76" fontId="45" fillId="0" borderId="23" xfId="18" applyNumberFormat="1" applyFont="1" applyBorder="1" applyAlignment="1" applyProtection="1">
      <alignment horizontal="center" vertical="center" wrapText="1"/>
      <protection locked="0"/>
    </xf>
    <xf numFmtId="0" fontId="45" fillId="0" borderId="41" xfId="18" applyFont="1" applyBorder="1" applyAlignment="1" applyProtection="1">
      <alignment horizontal="center" vertical="center" wrapText="1"/>
      <protection locked="0"/>
    </xf>
    <xf numFmtId="0" fontId="45" fillId="0" borderId="23" xfId="18" applyFont="1" applyBorder="1" applyAlignment="1" applyProtection="1">
      <alignment horizontal="center" vertical="center" wrapText="1"/>
      <protection locked="0"/>
    </xf>
    <xf numFmtId="176" fontId="45" fillId="0" borderId="3" xfId="18" applyNumberFormat="1" applyFont="1" applyBorder="1" applyAlignment="1" applyProtection="1">
      <alignment horizontal="center" vertical="center" wrapText="1"/>
      <protection locked="0"/>
    </xf>
    <xf numFmtId="0" fontId="45" fillId="0" borderId="3" xfId="18" applyFont="1" applyBorder="1" applyAlignment="1" applyProtection="1">
      <alignment horizontal="center" vertical="center" wrapText="1"/>
      <protection locked="0"/>
    </xf>
    <xf numFmtId="0" fontId="45" fillId="0" borderId="7" xfId="18"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76" fontId="129" fillId="0" borderId="23" xfId="18" applyNumberFormat="1" applyFont="1" applyBorder="1" applyAlignment="1" applyProtection="1">
      <alignment horizontal="center" vertical="center" wrapText="1"/>
      <protection locked="0"/>
    </xf>
    <xf numFmtId="0" fontId="20" fillId="0" borderId="1" xfId="26"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9" fontId="20" fillId="0" borderId="2" xfId="0" applyNumberFormat="1" applyFont="1" applyBorder="1" applyAlignment="1" applyProtection="1">
      <alignment horizontal="center" vertical="center" wrapText="1"/>
      <protection locked="0"/>
    </xf>
    <xf numFmtId="14" fontId="20" fillId="0" borderId="2" xfId="0" applyNumberFormat="1" applyFont="1" applyBorder="1" applyAlignment="1" applyProtection="1">
      <alignment horizontal="center" vertical="center" wrapText="1"/>
      <protection locked="0"/>
    </xf>
    <xf numFmtId="9" fontId="20" fillId="0" borderId="1" xfId="0" applyNumberFormat="1" applyFont="1" applyBorder="1" applyAlignment="1" applyProtection="1">
      <alignment horizontal="center" vertical="center" wrapText="1"/>
      <protection locked="0"/>
    </xf>
    <xf numFmtId="14" fontId="20" fillId="0" borderId="1" xfId="0" applyNumberFormat="1" applyFont="1" applyBorder="1" applyAlignment="1" applyProtection="1">
      <alignment horizontal="center" vertical="center" wrapText="1"/>
      <protection locked="0"/>
    </xf>
    <xf numFmtId="49" fontId="20" fillId="0" borderId="15"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98" fillId="0" borderId="54" xfId="0" applyFont="1" applyBorder="1" applyAlignment="1">
      <alignment horizontal="center" vertical="center"/>
    </xf>
    <xf numFmtId="49" fontId="20" fillId="0" borderId="1" xfId="0" applyNumberFormat="1"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protection locked="0"/>
    </xf>
    <xf numFmtId="179" fontId="20" fillId="0" borderId="2" xfId="0" applyNumberFormat="1" applyFont="1" applyBorder="1" applyAlignment="1" applyProtection="1">
      <alignment horizontal="center" vertical="center" wrapText="1"/>
      <protection locked="0"/>
    </xf>
    <xf numFmtId="179" fontId="20" fillId="0" borderId="1" xfId="0" applyNumberFormat="1" applyFont="1" applyBorder="1" applyAlignment="1" applyProtection="1">
      <alignment horizontal="center" vertical="center" wrapText="1"/>
      <protection locked="0"/>
    </xf>
    <xf numFmtId="0" fontId="299" fillId="12" borderId="0" xfId="0" applyFont="1" applyFill="1" applyProtection="1">
      <alignment vertical="center"/>
      <protection locked="0"/>
    </xf>
    <xf numFmtId="0" fontId="0" fillId="5" borderId="0" xfId="0" applyFill="1">
      <alignment vertical="center"/>
    </xf>
    <xf numFmtId="0" fontId="299" fillId="6" borderId="0" xfId="0" applyFont="1" applyFill="1" applyProtection="1">
      <alignment vertical="center"/>
      <protection locked="0"/>
    </xf>
    <xf numFmtId="0" fontId="78" fillId="6" borderId="0" xfId="0" applyFont="1" applyFill="1" applyProtection="1">
      <alignment vertical="center"/>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5"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18" applyFont="1" applyBorder="1" applyAlignment="1" applyProtection="1">
      <alignment horizontal="center" vertical="center" wrapText="1"/>
      <protection locked="0"/>
    </xf>
    <xf numFmtId="0" fontId="166" fillId="0" borderId="24" xfId="18" applyFont="1" applyBorder="1" applyAlignment="1" applyProtection="1">
      <alignment horizontal="center" vertical="center" wrapText="1"/>
      <protection locked="0"/>
    </xf>
    <xf numFmtId="0" fontId="208" fillId="0" borderId="3" xfId="18" applyFont="1" applyBorder="1" applyAlignment="1" applyProtection="1">
      <alignment horizontal="center" vertical="center" wrapText="1"/>
      <protection locked="0"/>
    </xf>
    <xf numFmtId="0" fontId="166" fillId="0" borderId="5" xfId="18" applyFont="1" applyBorder="1" applyAlignment="1" applyProtection="1">
      <alignment horizontal="center" vertical="center" wrapText="1"/>
      <protection locked="0"/>
    </xf>
    <xf numFmtId="0" fontId="297" fillId="0" borderId="23" xfId="18"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176" fontId="48" fillId="6" borderId="15"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95" fillId="0" borderId="1" xfId="26" applyFont="1" applyBorder="1" applyAlignment="1" applyProtection="1">
      <alignment horizontal="center" vertical="center" wrapText="1"/>
      <protection locked="0"/>
    </xf>
    <xf numFmtId="0" fontId="95" fillId="0" borderId="46" xfId="26" applyFont="1" applyBorder="1" applyAlignment="1" applyProtection="1">
      <alignment horizontal="center" vertical="center" wrapText="1"/>
      <protection locked="0"/>
    </xf>
    <xf numFmtId="0" fontId="95" fillId="0" borderId="179" xfId="26" applyFont="1" applyBorder="1" applyAlignment="1" applyProtection="1">
      <alignment horizontal="center" vertical="center" wrapText="1"/>
      <protection locked="0"/>
    </xf>
    <xf numFmtId="0" fontId="95" fillId="0" borderId="4" xfId="26" applyFont="1" applyBorder="1" applyAlignment="1" applyProtection="1">
      <alignment horizontal="center" vertical="center" wrapText="1"/>
      <protection locked="0"/>
    </xf>
    <xf numFmtId="0" fontId="95" fillId="0" borderId="7" xfId="26" applyFont="1" applyBorder="1" applyAlignment="1" applyProtection="1">
      <alignment horizontal="center" vertical="center" wrapText="1"/>
      <protection locked="0"/>
    </xf>
    <xf numFmtId="49" fontId="95" fillId="0" borderId="1" xfId="26" applyNumberFormat="1" applyFont="1" applyBorder="1" applyAlignment="1" applyProtection="1">
      <alignment horizontal="center" vertical="center" wrapText="1"/>
      <protection locked="0"/>
    </xf>
    <xf numFmtId="0" fontId="95" fillId="0" borderId="13" xfId="26" applyFont="1" applyBorder="1" applyAlignment="1" applyProtection="1">
      <alignment horizontal="center" vertical="center" wrapText="1"/>
      <protection locked="0"/>
    </xf>
    <xf numFmtId="0" fontId="95" fillId="0" borderId="15" xfId="26" applyFont="1" applyBorder="1" applyAlignment="1" applyProtection="1">
      <alignment horizontal="center" vertical="center" wrapText="1"/>
      <protection locked="0"/>
    </xf>
    <xf numFmtId="0" fontId="95" fillId="0" borderId="2" xfId="26" applyFont="1" applyBorder="1" applyAlignment="1" applyProtection="1">
      <alignment horizontal="center" vertical="center" wrapText="1"/>
      <protection locked="0"/>
    </xf>
    <xf numFmtId="0" fontId="95" fillId="0" borderId="177" xfId="26" applyFont="1" applyBorder="1" applyAlignment="1" applyProtection="1">
      <alignment horizontal="center" vertical="center" wrapText="1"/>
      <protection locked="0"/>
    </xf>
    <xf numFmtId="0" fontId="95" fillId="0" borderId="180" xfId="26" applyFont="1" applyBorder="1" applyAlignment="1" applyProtection="1">
      <alignment horizontal="center" vertical="center" wrapText="1"/>
      <protection locked="0"/>
    </xf>
    <xf numFmtId="0" fontId="95" fillId="0" borderId="178" xfId="26" applyFont="1" applyBorder="1" applyAlignment="1" applyProtection="1">
      <alignment horizontal="center" vertical="center" wrapText="1"/>
      <protection locked="0"/>
    </xf>
    <xf numFmtId="0" fontId="95" fillId="0" borderId="181" xfId="26" applyFont="1" applyBorder="1" applyAlignment="1" applyProtection="1">
      <alignment horizontal="center" vertical="center" wrapText="1"/>
      <protection locked="0"/>
    </xf>
    <xf numFmtId="0" fontId="95" fillId="0" borderId="182" xfId="26"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32">
    <cellStyle name="百分比" xfId="17" builtinId="5"/>
    <cellStyle name="百分比 2" xfId="14" xr:uid="{00000000-0005-0000-0000-000001000000}"/>
    <cellStyle name="百分比 3" xfId="23" xr:uid="{DB098B85-0D36-4722-8EFD-78996EAB81A4}"/>
    <cellStyle name="百分比 4" xfId="20" xr:uid="{6584E8B3-89A9-4A6A-9F9C-4330CEC9C9B4}"/>
    <cellStyle name="常规" xfId="0" builtinId="0"/>
    <cellStyle name="常规 11" xfId="18" xr:uid="{00000000-0005-0000-0000-000003000000}"/>
    <cellStyle name="常规 11 2" xfId="21" xr:uid="{94C24121-3C97-49C1-B056-8A44132C7727}"/>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8" xr:uid="{0B3C9A03-D9FB-4812-8E76-4F09F9265DE8}"/>
    <cellStyle name="常规 6 2 3" xfId="13" xr:uid="{00000000-0005-0000-0000-00000F000000}"/>
    <cellStyle name="常规 6 2 3 2" xfId="29" xr:uid="{DCFFC2E6-4468-43E6-B84D-9AFF66E4B999}"/>
    <cellStyle name="常规 6 2 4" xfId="27" xr:uid="{B67AE5A3-C432-45DC-BF91-121C666F3895}"/>
    <cellStyle name="常规 7" xfId="7" xr:uid="{00000000-0005-0000-0000-000010000000}"/>
    <cellStyle name="常规 8" xfId="11" xr:uid="{00000000-0005-0000-0000-000011000000}"/>
    <cellStyle name="常规 8 2" xfId="30" xr:uid="{E93E6509-E763-41BE-821E-571896132B67}"/>
    <cellStyle name="常规 9" xfId="12" xr:uid="{00000000-0005-0000-0000-000012000000}"/>
    <cellStyle name="常规 9 2" xfId="22" xr:uid="{9576D637-B896-4B61-B1D5-837DBA7530A4}"/>
    <cellStyle name="常规 9 3" xfId="19" xr:uid="{F3707E36-82CC-4054-87A6-5F88250D8C8C}"/>
    <cellStyle name="常规 9 4" xfId="31" xr:uid="{2A6C940C-E0D7-4279-B28E-0B1455A9D8AF}"/>
    <cellStyle name="常规_Sheet1" xfId="26" xr:uid="{9EE76FD5-8353-4571-AF59-F33F6BA1389D}"/>
    <cellStyle name="千位分隔 2" xfId="25" xr:uid="{A90E3EDA-D6E0-4D31-89DC-6271975648EB}"/>
    <cellStyle name="千位分隔[0] 2" xfId="24" xr:uid="{92C62BC0-FCE2-42E8-94E7-CC71457D2605}"/>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64026</xdr:colOff>
      <xdr:row>13</xdr:row>
      <xdr:rowOff>69850</xdr:rowOff>
    </xdr:from>
    <xdr:to>
      <xdr:col>20</xdr:col>
      <xdr:colOff>306913</xdr:colOff>
      <xdr:row>48</xdr:row>
      <xdr:rowOff>46678</xdr:rowOff>
    </xdr:to>
    <xdr:pic>
      <xdr:nvPicPr>
        <xdr:cNvPr id="2" name="图片 1">
          <a:extLst>
            <a:ext uri="{FF2B5EF4-FFF2-40B4-BE49-F238E27FC236}">
              <a16:creationId xmlns:a16="http://schemas.microsoft.com/office/drawing/2014/main" id="{0C0536FE-BD36-AFEA-9745-118C5FCEA25A}"/>
            </a:ext>
          </a:extLst>
        </xdr:cNvPr>
        <xdr:cNvPicPr>
          <a:picLocks noChangeAspect="1"/>
        </xdr:cNvPicPr>
      </xdr:nvPicPr>
      <xdr:blipFill>
        <a:blip xmlns:r="http://schemas.openxmlformats.org/officeDocument/2006/relationships" r:embed="rId1"/>
        <a:stretch>
          <a:fillRect/>
        </a:stretch>
      </xdr:blipFill>
      <xdr:spPr>
        <a:xfrm>
          <a:off x="5550426" y="2381250"/>
          <a:ext cx="6948487" cy="61998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428114</xdr:colOff>
      <xdr:row>49</xdr:row>
      <xdr:rowOff>78276</xdr:rowOff>
    </xdr:to>
    <xdr:pic>
      <xdr:nvPicPr>
        <xdr:cNvPr id="2" name="图片 1">
          <a:extLst>
            <a:ext uri="{FF2B5EF4-FFF2-40B4-BE49-F238E27FC236}">
              <a16:creationId xmlns:a16="http://schemas.microsoft.com/office/drawing/2014/main" id="{035C49F7-8D36-B0FF-7C4C-F8EB6CD7E835}"/>
            </a:ext>
          </a:extLst>
        </xdr:cNvPr>
        <xdr:cNvPicPr>
          <a:picLocks noChangeAspect="1"/>
        </xdr:cNvPicPr>
      </xdr:nvPicPr>
      <xdr:blipFill>
        <a:blip xmlns:r="http://schemas.openxmlformats.org/officeDocument/2006/relationships" r:embed="rId1"/>
        <a:stretch>
          <a:fillRect/>
        </a:stretch>
      </xdr:blipFill>
      <xdr:spPr>
        <a:xfrm>
          <a:off x="0" y="0"/>
          <a:ext cx="4085714" cy="8790476"/>
        </a:xfrm>
        <a:prstGeom prst="rect">
          <a:avLst/>
        </a:prstGeom>
      </xdr:spPr>
    </xdr:pic>
    <xdr:clientData/>
  </xdr:twoCellAnchor>
  <xdr:twoCellAnchor editAs="oneCell">
    <xdr:from>
      <xdr:col>7</xdr:col>
      <xdr:colOff>361932</xdr:colOff>
      <xdr:row>8</xdr:row>
      <xdr:rowOff>57150</xdr:rowOff>
    </xdr:from>
    <xdr:to>
      <xdr:col>18</xdr:col>
      <xdr:colOff>52550</xdr:colOff>
      <xdr:row>40</xdr:row>
      <xdr:rowOff>122543</xdr:rowOff>
    </xdr:to>
    <xdr:pic>
      <xdr:nvPicPr>
        <xdr:cNvPr id="3" name="图片 2">
          <a:extLst>
            <a:ext uri="{FF2B5EF4-FFF2-40B4-BE49-F238E27FC236}">
              <a16:creationId xmlns:a16="http://schemas.microsoft.com/office/drawing/2014/main" id="{F5BC2A45-9A60-8E3A-F627-52E5C8F81FF6}"/>
            </a:ext>
          </a:extLst>
        </xdr:cNvPr>
        <xdr:cNvPicPr>
          <a:picLocks noChangeAspect="1"/>
        </xdr:cNvPicPr>
      </xdr:nvPicPr>
      <xdr:blipFill>
        <a:blip xmlns:r="http://schemas.openxmlformats.org/officeDocument/2006/relationships" r:embed="rId2"/>
        <a:stretch>
          <a:fillRect/>
        </a:stretch>
      </xdr:blipFill>
      <xdr:spPr>
        <a:xfrm>
          <a:off x="4629132" y="1479550"/>
          <a:ext cx="6396218" cy="5754993"/>
        </a:xfrm>
        <a:prstGeom prst="rect">
          <a:avLst/>
        </a:prstGeom>
      </xdr:spPr>
    </xdr:pic>
    <xdr:clientData/>
  </xdr:twoCellAnchor>
  <xdr:twoCellAnchor editAs="oneCell">
    <xdr:from>
      <xdr:col>17</xdr:col>
      <xdr:colOff>587874</xdr:colOff>
      <xdr:row>8</xdr:row>
      <xdr:rowOff>6349</xdr:rowOff>
    </xdr:from>
    <xdr:to>
      <xdr:col>28</xdr:col>
      <xdr:colOff>604985</xdr:colOff>
      <xdr:row>39</xdr:row>
      <xdr:rowOff>116270</xdr:rowOff>
    </xdr:to>
    <xdr:pic>
      <xdr:nvPicPr>
        <xdr:cNvPr id="4" name="图片 3">
          <a:extLst>
            <a:ext uri="{FF2B5EF4-FFF2-40B4-BE49-F238E27FC236}">
              <a16:creationId xmlns:a16="http://schemas.microsoft.com/office/drawing/2014/main" id="{209A30C2-84F6-238B-1F62-835E0C737FE4}"/>
            </a:ext>
          </a:extLst>
        </xdr:cNvPr>
        <xdr:cNvPicPr>
          <a:picLocks noChangeAspect="1"/>
        </xdr:cNvPicPr>
      </xdr:nvPicPr>
      <xdr:blipFill>
        <a:blip xmlns:r="http://schemas.openxmlformats.org/officeDocument/2006/relationships" r:embed="rId3"/>
        <a:stretch>
          <a:fillRect/>
        </a:stretch>
      </xdr:blipFill>
      <xdr:spPr>
        <a:xfrm>
          <a:off x="10951074" y="1428749"/>
          <a:ext cx="6722711" cy="5621721"/>
        </a:xfrm>
        <a:prstGeom prst="rect">
          <a:avLst/>
        </a:prstGeom>
      </xdr:spPr>
    </xdr:pic>
    <xdr:clientData/>
  </xdr:twoCellAnchor>
  <xdr:twoCellAnchor editAs="oneCell">
    <xdr:from>
      <xdr:col>7</xdr:col>
      <xdr:colOff>239716</xdr:colOff>
      <xdr:row>51</xdr:row>
      <xdr:rowOff>82550</xdr:rowOff>
    </xdr:from>
    <xdr:to>
      <xdr:col>18</xdr:col>
      <xdr:colOff>221953</xdr:colOff>
      <xdr:row>84</xdr:row>
      <xdr:rowOff>52700</xdr:rowOff>
    </xdr:to>
    <xdr:pic>
      <xdr:nvPicPr>
        <xdr:cNvPr id="5" name="图片 4">
          <a:extLst>
            <a:ext uri="{FF2B5EF4-FFF2-40B4-BE49-F238E27FC236}">
              <a16:creationId xmlns:a16="http://schemas.microsoft.com/office/drawing/2014/main" id="{67928815-B68A-BE25-37DA-4B1D9A05BF62}"/>
            </a:ext>
          </a:extLst>
        </xdr:cNvPr>
        <xdr:cNvPicPr>
          <a:picLocks noChangeAspect="1"/>
        </xdr:cNvPicPr>
      </xdr:nvPicPr>
      <xdr:blipFill>
        <a:blip xmlns:r="http://schemas.openxmlformats.org/officeDocument/2006/relationships" r:embed="rId4"/>
        <a:stretch>
          <a:fillRect/>
        </a:stretch>
      </xdr:blipFill>
      <xdr:spPr>
        <a:xfrm>
          <a:off x="4506916" y="9150350"/>
          <a:ext cx="6687837" cy="5837550"/>
        </a:xfrm>
        <a:prstGeom prst="rect">
          <a:avLst/>
        </a:prstGeom>
      </xdr:spPr>
    </xdr:pic>
    <xdr:clientData/>
  </xdr:twoCellAnchor>
  <xdr:twoCellAnchor editAs="oneCell">
    <xdr:from>
      <xdr:col>18</xdr:col>
      <xdr:colOff>536920</xdr:colOff>
      <xdr:row>50</xdr:row>
      <xdr:rowOff>127000</xdr:rowOff>
    </xdr:from>
    <xdr:to>
      <xdr:col>30</xdr:col>
      <xdr:colOff>608086</xdr:colOff>
      <xdr:row>83</xdr:row>
      <xdr:rowOff>43264</xdr:rowOff>
    </xdr:to>
    <xdr:pic>
      <xdr:nvPicPr>
        <xdr:cNvPr id="6" name="图片 5">
          <a:extLst>
            <a:ext uri="{FF2B5EF4-FFF2-40B4-BE49-F238E27FC236}">
              <a16:creationId xmlns:a16="http://schemas.microsoft.com/office/drawing/2014/main" id="{FECD17F8-1124-A47D-A47C-7D8B8287BBE1}"/>
            </a:ext>
          </a:extLst>
        </xdr:cNvPr>
        <xdr:cNvPicPr>
          <a:picLocks noChangeAspect="1"/>
        </xdr:cNvPicPr>
      </xdr:nvPicPr>
      <xdr:blipFill>
        <a:blip xmlns:r="http://schemas.openxmlformats.org/officeDocument/2006/relationships" r:embed="rId5"/>
        <a:stretch>
          <a:fillRect/>
        </a:stretch>
      </xdr:blipFill>
      <xdr:spPr>
        <a:xfrm>
          <a:off x="11509720" y="9017000"/>
          <a:ext cx="7386366" cy="5783664"/>
        </a:xfrm>
        <a:prstGeom prst="rect">
          <a:avLst/>
        </a:prstGeom>
      </xdr:spPr>
    </xdr:pic>
    <xdr:clientData/>
  </xdr:twoCellAnchor>
  <xdr:twoCellAnchor editAs="oneCell">
    <xdr:from>
      <xdr:col>0</xdr:col>
      <xdr:colOff>577850</xdr:colOff>
      <xdr:row>51</xdr:row>
      <xdr:rowOff>50800</xdr:rowOff>
    </xdr:from>
    <xdr:to>
      <xdr:col>6</xdr:col>
      <xdr:colOff>120250</xdr:colOff>
      <xdr:row>60</xdr:row>
      <xdr:rowOff>107743</xdr:rowOff>
    </xdr:to>
    <xdr:pic>
      <xdr:nvPicPr>
        <xdr:cNvPr id="7" name="图片 6">
          <a:extLst>
            <a:ext uri="{FF2B5EF4-FFF2-40B4-BE49-F238E27FC236}">
              <a16:creationId xmlns:a16="http://schemas.microsoft.com/office/drawing/2014/main" id="{FD72B6A0-7C98-24AF-57FC-9C8A57709842}"/>
            </a:ext>
          </a:extLst>
        </xdr:cNvPr>
        <xdr:cNvPicPr>
          <a:picLocks noChangeAspect="1"/>
        </xdr:cNvPicPr>
      </xdr:nvPicPr>
      <xdr:blipFill>
        <a:blip xmlns:r="http://schemas.openxmlformats.org/officeDocument/2006/relationships" r:embed="rId6"/>
        <a:stretch>
          <a:fillRect/>
        </a:stretch>
      </xdr:blipFill>
      <xdr:spPr>
        <a:xfrm>
          <a:off x="577850" y="9118600"/>
          <a:ext cx="3200000" cy="1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456686</xdr:colOff>
      <xdr:row>31</xdr:row>
      <xdr:rowOff>31057</xdr:rowOff>
    </xdr:to>
    <xdr:pic>
      <xdr:nvPicPr>
        <xdr:cNvPr id="2" name="图片 1">
          <a:extLst>
            <a:ext uri="{FF2B5EF4-FFF2-40B4-BE49-F238E27FC236}">
              <a16:creationId xmlns:a16="http://schemas.microsoft.com/office/drawing/2014/main" id="{ECD117AE-A5E2-F895-533F-E483E10D9933}"/>
            </a:ext>
          </a:extLst>
        </xdr:cNvPr>
        <xdr:cNvPicPr>
          <a:picLocks noChangeAspect="1"/>
        </xdr:cNvPicPr>
      </xdr:nvPicPr>
      <xdr:blipFill>
        <a:blip xmlns:r="http://schemas.openxmlformats.org/officeDocument/2006/relationships" r:embed="rId1"/>
        <a:stretch>
          <a:fillRect/>
        </a:stretch>
      </xdr:blipFill>
      <xdr:spPr>
        <a:xfrm>
          <a:off x="0" y="0"/>
          <a:ext cx="4114286" cy="5542857"/>
        </a:xfrm>
        <a:prstGeom prst="rect">
          <a:avLst/>
        </a:prstGeom>
      </xdr:spPr>
    </xdr:pic>
    <xdr:clientData/>
  </xdr:twoCellAnchor>
  <xdr:twoCellAnchor editAs="oneCell">
    <xdr:from>
      <xdr:col>7</xdr:col>
      <xdr:colOff>91048</xdr:colOff>
      <xdr:row>0</xdr:row>
      <xdr:rowOff>0</xdr:rowOff>
    </xdr:from>
    <xdr:to>
      <xdr:col>17</xdr:col>
      <xdr:colOff>563628</xdr:colOff>
      <xdr:row>29</xdr:row>
      <xdr:rowOff>40071</xdr:rowOff>
    </xdr:to>
    <xdr:pic>
      <xdr:nvPicPr>
        <xdr:cNvPr id="3" name="图片 2">
          <a:extLst>
            <a:ext uri="{FF2B5EF4-FFF2-40B4-BE49-F238E27FC236}">
              <a16:creationId xmlns:a16="http://schemas.microsoft.com/office/drawing/2014/main" id="{0DDBC08F-FD70-5E69-3E58-E68FEB94904C}"/>
            </a:ext>
          </a:extLst>
        </xdr:cNvPr>
        <xdr:cNvPicPr>
          <a:picLocks noChangeAspect="1"/>
        </xdr:cNvPicPr>
      </xdr:nvPicPr>
      <xdr:blipFill>
        <a:blip xmlns:r="http://schemas.openxmlformats.org/officeDocument/2006/relationships" r:embed="rId2"/>
        <a:stretch>
          <a:fillRect/>
        </a:stretch>
      </xdr:blipFill>
      <xdr:spPr>
        <a:xfrm>
          <a:off x="4358248" y="0"/>
          <a:ext cx="6568580" cy="5196271"/>
        </a:xfrm>
        <a:prstGeom prst="rect">
          <a:avLst/>
        </a:prstGeom>
      </xdr:spPr>
    </xdr:pic>
    <xdr:clientData/>
  </xdr:twoCellAnchor>
  <xdr:twoCellAnchor editAs="oneCell">
    <xdr:from>
      <xdr:col>0</xdr:col>
      <xdr:colOff>0</xdr:colOff>
      <xdr:row>35</xdr:row>
      <xdr:rowOff>158750</xdr:rowOff>
    </xdr:from>
    <xdr:to>
      <xdr:col>13</xdr:col>
      <xdr:colOff>488802</xdr:colOff>
      <xdr:row>62</xdr:row>
      <xdr:rowOff>103826</xdr:rowOff>
    </xdr:to>
    <xdr:pic>
      <xdr:nvPicPr>
        <xdr:cNvPr id="4" name="图片 3">
          <a:extLst>
            <a:ext uri="{FF2B5EF4-FFF2-40B4-BE49-F238E27FC236}">
              <a16:creationId xmlns:a16="http://schemas.microsoft.com/office/drawing/2014/main" id="{B7B41AA3-9DA2-1F22-EC50-B0D5C7E18931}"/>
            </a:ext>
          </a:extLst>
        </xdr:cNvPr>
        <xdr:cNvPicPr>
          <a:picLocks noChangeAspect="1"/>
        </xdr:cNvPicPr>
      </xdr:nvPicPr>
      <xdr:blipFill>
        <a:blip xmlns:r="http://schemas.openxmlformats.org/officeDocument/2006/relationships" r:embed="rId3"/>
        <a:stretch>
          <a:fillRect/>
        </a:stretch>
      </xdr:blipFill>
      <xdr:spPr>
        <a:xfrm>
          <a:off x="0" y="6381750"/>
          <a:ext cx="8413602" cy="4745676"/>
        </a:xfrm>
        <a:prstGeom prst="rect">
          <a:avLst/>
        </a:prstGeom>
      </xdr:spPr>
    </xdr:pic>
    <xdr:clientData/>
  </xdr:twoCellAnchor>
  <xdr:twoCellAnchor editAs="oneCell">
    <xdr:from>
      <xdr:col>14</xdr:col>
      <xdr:colOff>330734</xdr:colOff>
      <xdr:row>36</xdr:row>
      <xdr:rowOff>146050</xdr:rowOff>
    </xdr:from>
    <xdr:to>
      <xdr:col>31</xdr:col>
      <xdr:colOff>274435</xdr:colOff>
      <xdr:row>69</xdr:row>
      <xdr:rowOff>141857</xdr:rowOff>
    </xdr:to>
    <xdr:pic>
      <xdr:nvPicPr>
        <xdr:cNvPr id="5" name="图片 4">
          <a:extLst>
            <a:ext uri="{FF2B5EF4-FFF2-40B4-BE49-F238E27FC236}">
              <a16:creationId xmlns:a16="http://schemas.microsoft.com/office/drawing/2014/main" id="{5CEF7D89-311D-17B8-A331-CFB8B3D14520}"/>
            </a:ext>
          </a:extLst>
        </xdr:cNvPr>
        <xdr:cNvPicPr>
          <a:picLocks noChangeAspect="1"/>
        </xdr:cNvPicPr>
      </xdr:nvPicPr>
      <xdr:blipFill>
        <a:blip xmlns:r="http://schemas.openxmlformats.org/officeDocument/2006/relationships" r:embed="rId4"/>
        <a:stretch>
          <a:fillRect/>
        </a:stretch>
      </xdr:blipFill>
      <xdr:spPr>
        <a:xfrm>
          <a:off x="8865134" y="6546850"/>
          <a:ext cx="10306901" cy="5863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北京市东城区朝阳门北大街8号房地产抵押价值预评估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受贵公司委托，我公司对北京市东城区朝阳门北大街8号房地产抵押价值进行了预评估。</v>
      </c>
    </row>
    <row r="7" spans="1:2">
      <c r="A7" s="793" t="s">
        <v>560</v>
      </c>
      <c r="B7" s="794" t="str">
        <f>'预评函-1'!A7</f>
        <v>估价对象为北京市东城区朝阳门北大街8号房地产，为北京铜牛集团有限公司所有。根据《国有土地使用证》[]，估价对象（分摊）出让国有建设用地使用权面积为1066.21平方米，建筑面积为12000.23平方米。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2026年3月9日</v>
      </c>
    </row>
    <row r="13" spans="1:2">
      <c r="A13" s="793" t="s">
        <v>523</v>
      </c>
      <c r="B13" s="794" t="str">
        <f>'预评函-1'!A18</f>
        <v>本次估价的“房地产价值”是指在正常市场情况下，在价值时点2026年3月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32318</v>
      </c>
    </row>
    <row r="21" spans="1:2">
      <c r="A21" s="793" t="s">
        <v>531</v>
      </c>
      <c r="B21" s="794">
        <f ca="1">'预评函-2'!D7</f>
        <v>26931</v>
      </c>
    </row>
    <row r="22" spans="1:2">
      <c r="A22" s="793" t="s">
        <v>532</v>
      </c>
      <c r="B22" s="794" t="str">
        <f ca="1">'预评函-2'!D6</f>
        <v>叁亿贰仟叁佰壹拾捌万元整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32318</v>
      </c>
    </row>
    <row r="31" spans="1:2">
      <c r="A31" s="793" t="s">
        <v>570</v>
      </c>
      <c r="B31" s="794">
        <f ca="1">'预评函-2'!D15</f>
        <v>26931</v>
      </c>
    </row>
    <row r="32" spans="1:2">
      <c r="A32" s="793" t="s">
        <v>537</v>
      </c>
      <c r="B32" s="794" t="str">
        <f ca="1">'预评函-2'!D14</f>
        <v>叁亿贰仟叁佰壹拾捌万元整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31979</v>
      </c>
    </row>
    <row r="39" spans="1:2">
      <c r="A39" s="793" t="s">
        <v>539</v>
      </c>
      <c r="B39" s="794">
        <f ca="1">'预评函-2'!D21</f>
        <v>26649</v>
      </c>
    </row>
    <row r="40" spans="1:2">
      <c r="A40" s="793" t="s">
        <v>540</v>
      </c>
      <c r="B40" s="794" t="str">
        <f ca="1">'预评函-2'!D20</f>
        <v>叁亿壹仟玖佰柒拾玖万元整</v>
      </c>
    </row>
    <row r="41" spans="1:2">
      <c r="A41" s="793" t="s">
        <v>586</v>
      </c>
      <c r="B41" s="794" t="str">
        <f>'预评函-3'!A4</f>
        <v>北京市东城区朝阳门北大街8号房地产</v>
      </c>
    </row>
    <row r="42" spans="1:2" ht="30">
      <c r="A42" s="793" t="s">
        <v>584</v>
      </c>
      <c r="B42" s="794" t="str">
        <f>'预评函-3'!B2</f>
        <v>建筑面积</v>
      </c>
    </row>
    <row r="43" spans="1:2">
      <c r="A43" s="793" t="s">
        <v>585</v>
      </c>
      <c r="B43" s="794">
        <f>'预评函-3'!B4</f>
        <v>12000.230000000001</v>
      </c>
    </row>
    <row r="44" spans="1:2" ht="30">
      <c r="A44" s="793" t="s">
        <v>569</v>
      </c>
      <c r="B44" s="794" t="str">
        <f>'预评函-3'!C2</f>
        <v>(分摊)土地面积</v>
      </c>
    </row>
    <row r="45" spans="1:2">
      <c r="A45" s="793" t="s">
        <v>541</v>
      </c>
      <c r="B45" s="794">
        <f>'预评函-3'!C4</f>
        <v>1066.21</v>
      </c>
    </row>
    <row r="46" spans="1:2">
      <c r="A46" s="793" t="s">
        <v>567</v>
      </c>
      <c r="B46" s="794" t="str">
        <f>'预评函-3'!D2</f>
        <v>出让国有建设用地使用权价值</v>
      </c>
    </row>
    <row r="47" spans="1:2">
      <c r="A47" s="793" t="s">
        <v>542</v>
      </c>
      <c r="B47" s="794">
        <f ca="1">'预评函-3'!D4</f>
        <v>19262</v>
      </c>
    </row>
    <row r="48" spans="1:2">
      <c r="A48" s="793" t="s">
        <v>543</v>
      </c>
      <c r="B48" s="794">
        <f ca="1">'预评函-3'!E4</f>
        <v>16051</v>
      </c>
    </row>
    <row r="49" spans="1:2">
      <c r="A49" s="793" t="s">
        <v>544</v>
      </c>
      <c r="B49" s="794" t="str">
        <f ca="1">'预评函-3'!D5</f>
        <v>壹亿玖仟贰佰陆拾贰万元整</v>
      </c>
    </row>
    <row r="50" spans="1:2">
      <c r="A50" s="793" t="s">
        <v>568</v>
      </c>
      <c r="B50" s="794">
        <f>'预评函-3'!F2</f>
        <v>0</v>
      </c>
    </row>
    <row r="51" spans="1:2">
      <c r="A51" s="793" t="s">
        <v>545</v>
      </c>
      <c r="B51" s="794">
        <f ca="1">'预评函-3'!F4</f>
        <v>13056</v>
      </c>
    </row>
    <row r="52" spans="1:2">
      <c r="A52" s="793" t="s">
        <v>546</v>
      </c>
      <c r="B52" s="794">
        <f ca="1">'预评函-3'!G4</f>
        <v>10880</v>
      </c>
    </row>
    <row r="53" spans="1:2">
      <c r="A53" s="793" t="s">
        <v>574</v>
      </c>
      <c r="B53" s="794" t="str">
        <f ca="1">'预评函-3'!F5</f>
        <v>壹亿叁仟零伍拾陆万元整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90">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90">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90">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90">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9"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9"/>
      <c r="B54" s="1091" t="s">
        <v>379</v>
      </c>
      <c r="C54" s="1089" t="s">
        <v>577</v>
      </c>
    </row>
    <row r="55" spans="1:4">
      <c r="A55" s="4329"/>
      <c r="B55" s="1091" t="s">
        <v>380</v>
      </c>
      <c r="C55" s="1089" t="s">
        <v>578</v>
      </c>
    </row>
    <row r="56" spans="1:4">
      <c r="A56" s="4329"/>
      <c r="B56" s="1091" t="s">
        <v>381</v>
      </c>
      <c r="C56" s="1089" t="s">
        <v>582</v>
      </c>
    </row>
    <row r="57" spans="1:4">
      <c r="A57" s="4329"/>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J1" zoomScaleNormal="100" workbookViewId="0">
      <selection activeCell="H4" sqref="A4:XFD4"/>
    </sheetView>
  </sheetViews>
  <sheetFormatPr defaultColWidth="15.26953125" defaultRowHeight="14"/>
  <cols>
    <col min="1" max="7" width="15.26953125" style="2188"/>
    <col min="8" max="8" width="15" style="2188" customWidth="1"/>
    <col min="9" max="13" width="11.453125" style="2219" customWidth="1"/>
    <col min="14" max="15" width="11.453125" style="2188" customWidth="1"/>
    <col min="16" max="18" width="9.453125" style="2188" customWidth="1"/>
    <col min="19" max="19" width="3.7265625" style="2188" customWidth="1"/>
    <col min="20" max="16384" width="15.26953125" style="2188"/>
  </cols>
  <sheetData>
    <row r="1" spans="1:19">
      <c r="A1" s="2185" t="s">
        <v>2389</v>
      </c>
      <c r="B1" s="2186"/>
      <c r="C1" s="2186"/>
      <c r="D1" s="2186"/>
      <c r="E1" s="2186"/>
      <c r="F1" s="2187"/>
      <c r="I1" s="2478" t="s">
        <v>2482</v>
      </c>
      <c r="J1" s="3506"/>
      <c r="K1" s="3506"/>
      <c r="L1" s="3506"/>
      <c r="M1" s="3506"/>
      <c r="N1" s="3507"/>
      <c r="O1" s="3507"/>
      <c r="P1" s="3507"/>
      <c r="Q1" s="3507"/>
      <c r="R1" s="3508"/>
    </row>
    <row r="2" spans="1:19">
      <c r="A2" s="2189"/>
      <c r="B2" s="2190"/>
      <c r="C2" s="2190"/>
      <c r="D2" s="2190"/>
      <c r="E2" s="2190"/>
      <c r="F2" s="2191"/>
      <c r="I2" s="4330" t="s">
        <v>2469</v>
      </c>
      <c r="J2" s="4331"/>
      <c r="K2" s="4331"/>
      <c r="L2" s="4331"/>
      <c r="M2" s="4331"/>
      <c r="N2" s="4331"/>
      <c r="O2" s="4331"/>
      <c r="P2" s="4331"/>
      <c r="Q2" s="4331"/>
      <c r="R2" s="4332"/>
    </row>
    <row r="3" spans="1:19">
      <c r="A3" s="2192" t="s">
        <v>2390</v>
      </c>
      <c r="B3" s="2193">
        <f>项目基本情况!D3</f>
        <v>46090</v>
      </c>
      <c r="C3" s="2194"/>
      <c r="D3" s="2194"/>
      <c r="E3" s="2194"/>
      <c r="F3" s="2191"/>
      <c r="I3" s="2198"/>
      <c r="J3" s="2199" t="s">
        <v>2473</v>
      </c>
      <c r="K3" s="2199" t="s">
        <v>2474</v>
      </c>
      <c r="L3" s="2199" t="s">
        <v>2475</v>
      </c>
      <c r="M3" s="2199" t="s">
        <v>2476</v>
      </c>
      <c r="N3" s="2479" t="s">
        <v>2477</v>
      </c>
      <c r="O3" s="2479" t="s">
        <v>2478</v>
      </c>
      <c r="P3" s="2479" t="s">
        <v>2479</v>
      </c>
      <c r="Q3" s="2479" t="s">
        <v>2480</v>
      </c>
      <c r="R3" s="3493" t="s">
        <v>2481</v>
      </c>
    </row>
    <row r="4" spans="1:19">
      <c r="A4" s="2192" t="s">
        <v>2391</v>
      </c>
      <c r="B4" s="2194" t="s">
        <v>2392</v>
      </c>
      <c r="C4" s="2194" t="s">
        <v>2393</v>
      </c>
      <c r="D4" s="2194" t="s">
        <v>2394</v>
      </c>
      <c r="E4" s="2194" t="s">
        <v>2395</v>
      </c>
      <c r="F4" s="2191"/>
      <c r="I4" s="2198" t="s">
        <v>2470</v>
      </c>
      <c r="J4" s="3972">
        <v>80</v>
      </c>
      <c r="K4" s="3972">
        <v>70</v>
      </c>
      <c r="L4" s="3972">
        <v>20</v>
      </c>
      <c r="M4" s="3972">
        <v>30</v>
      </c>
      <c r="N4" s="3510">
        <v>45</v>
      </c>
      <c r="O4" s="3510">
        <v>60</v>
      </c>
      <c r="P4" s="3510">
        <v>50</v>
      </c>
      <c r="Q4" s="3510">
        <v>20</v>
      </c>
      <c r="R4" s="3973">
        <v>375</v>
      </c>
    </row>
    <row r="5" spans="1:19">
      <c r="A5" s="3509">
        <v>40</v>
      </c>
      <c r="B5" s="2193">
        <v>46375</v>
      </c>
      <c r="C5" s="3510">
        <f>ROUNDDOWN(MIN((B5-B3)/365,A5),2)</f>
        <v>0.78</v>
      </c>
      <c r="D5" s="3511">
        <f>IF(ISERROR(ROUND(POWER(1+E5,A5-C5)*(POWER(1+E5,C5)-1)/(POWER(1+E5,A5)-1),3)),0,ROUND(POWER(1+E5,A5-C5)*(POWER(1+E5,C5)-1)/(POWER(1+E5,A5)-1),4))</f>
        <v>3.8100000000000002E-2</v>
      </c>
      <c r="E5" s="3512">
        <v>0.04</v>
      </c>
      <c r="F5" s="2191"/>
      <c r="I5" s="2198" t="s">
        <v>2471</v>
      </c>
      <c r="J5" s="3972">
        <v>70</v>
      </c>
      <c r="K5" s="3972">
        <v>60</v>
      </c>
      <c r="L5" s="3972">
        <v>15</v>
      </c>
      <c r="M5" s="3972">
        <v>25</v>
      </c>
      <c r="N5" s="3510">
        <v>40</v>
      </c>
      <c r="O5" s="3510">
        <v>50</v>
      </c>
      <c r="P5" s="3510">
        <v>40</v>
      </c>
      <c r="Q5" s="3510">
        <v>15</v>
      </c>
      <c r="R5" s="3973">
        <v>315</v>
      </c>
    </row>
    <row r="6" spans="1:19" ht="14.5" thickBot="1">
      <c r="A6" s="3509">
        <v>50</v>
      </c>
      <c r="B6" s="2193">
        <v>50028</v>
      </c>
      <c r="C6" s="3510">
        <f>ROUNDDOWN(MIN((B6-B3)/365,A6),2)</f>
        <v>10.78</v>
      </c>
      <c r="D6" s="3511">
        <f>IF(ISERROR(ROUND(POWER(1+E6,A6-C6)*(POWER(1+E6,C6)-1)/(POWER(1+E6,A6)-1),3)),0,ROUND(POWER(1+E6,A6-C6)*(POWER(1+E6,C6)-1)/(POWER(1+E6,A6)-1),4))</f>
        <v>0.40129999999999999</v>
      </c>
      <c r="E6" s="3512">
        <v>0.04</v>
      </c>
      <c r="F6" s="2191"/>
      <c r="I6" s="3494" t="s">
        <v>2472</v>
      </c>
      <c r="J6" s="3974">
        <v>60</v>
      </c>
      <c r="K6" s="3974">
        <v>50</v>
      </c>
      <c r="L6" s="3974">
        <v>10</v>
      </c>
      <c r="M6" s="3974">
        <v>20</v>
      </c>
      <c r="N6" s="3975">
        <v>35</v>
      </c>
      <c r="O6" s="3975">
        <v>40</v>
      </c>
      <c r="P6" s="3975">
        <v>30</v>
      </c>
      <c r="Q6" s="3975">
        <v>10</v>
      </c>
      <c r="R6" s="3976">
        <v>255</v>
      </c>
    </row>
    <row r="7" spans="1:19">
      <c r="A7" s="3509">
        <v>70</v>
      </c>
      <c r="B7" s="2193">
        <v>57333</v>
      </c>
      <c r="C7" s="3510">
        <f>ROUNDDOWN(MIN((B7-B3)/365,A7),2)</f>
        <v>30.8</v>
      </c>
      <c r="D7" s="3511">
        <f>IF(ISERROR(ROUND(POWER(1+E7,A7-C7)*(POWER(1+E7,C7)-1)/(POWER(1+E7,A7)-1),3)),0,ROUND(POWER(1+E7,A7-C7)*(POWER(1+E7,C7)-1)/(POWER(1+E7,A7)-1),4))</f>
        <v>0.74929999999999997</v>
      </c>
      <c r="E7" s="3512">
        <v>0.04</v>
      </c>
      <c r="F7" s="2191"/>
      <c r="I7" s="3495" t="s">
        <v>3669</v>
      </c>
      <c r="J7" s="3496" t="s">
        <v>3671</v>
      </c>
      <c r="K7" s="3497">
        <v>3.5</v>
      </c>
      <c r="L7" s="3498"/>
      <c r="M7" s="3492"/>
      <c r="N7" s="2186"/>
      <c r="O7" s="2186"/>
      <c r="P7" s="2186"/>
      <c r="Q7" s="2186"/>
      <c r="R7" s="2187"/>
    </row>
    <row r="8" spans="1:19" ht="14.5" thickBot="1">
      <c r="A8" s="2189"/>
      <c r="B8" s="2190"/>
      <c r="C8" s="2190"/>
      <c r="D8" s="2190"/>
      <c r="E8" s="2190"/>
      <c r="F8" s="2191"/>
      <c r="I8" s="4330" t="s">
        <v>3670</v>
      </c>
      <c r="J8" s="4331"/>
      <c r="K8" s="4331"/>
      <c r="L8" s="4331"/>
      <c r="M8" s="4331"/>
      <c r="N8" s="4331"/>
      <c r="O8" s="4331"/>
      <c r="P8" s="4331"/>
      <c r="Q8" s="4331"/>
      <c r="R8" s="4332"/>
    </row>
    <row r="9" spans="1:19">
      <c r="A9" s="2192" t="s">
        <v>2396</v>
      </c>
      <c r="B9" s="2194"/>
      <c r="C9" s="2194"/>
      <c r="D9" s="2194"/>
      <c r="E9" s="2194"/>
      <c r="F9" s="2195"/>
      <c r="I9" s="2198"/>
      <c r="J9" s="2199" t="s">
        <v>2473</v>
      </c>
      <c r="K9" s="2199" t="s">
        <v>2474</v>
      </c>
      <c r="L9" s="2199" t="s">
        <v>2475</v>
      </c>
      <c r="M9" s="2199" t="s">
        <v>2476</v>
      </c>
      <c r="N9" s="2479" t="s">
        <v>2477</v>
      </c>
      <c r="O9" s="2479" t="s">
        <v>2478</v>
      </c>
      <c r="P9" s="2479" t="s">
        <v>2479</v>
      </c>
      <c r="Q9" s="2479" t="s">
        <v>2480</v>
      </c>
      <c r="R9" s="3493" t="s">
        <v>2481</v>
      </c>
      <c r="S9" s="4335" t="s">
        <v>3874</v>
      </c>
    </row>
    <row r="10" spans="1:19">
      <c r="A10" s="2192" t="s">
        <v>2397</v>
      </c>
      <c r="B10" s="2194"/>
      <c r="C10" s="2194"/>
      <c r="D10" s="2194" t="s">
        <v>2395</v>
      </c>
      <c r="E10" s="2194"/>
      <c r="F10" s="2195" t="s">
        <v>2394</v>
      </c>
      <c r="I10" s="2198" t="s">
        <v>2470</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336"/>
    </row>
    <row r="11" spans="1:19">
      <c r="A11" s="3515" t="s">
        <v>2398</v>
      </c>
      <c r="B11" s="3513">
        <v>70</v>
      </c>
      <c r="C11" s="3516" t="s">
        <v>2399</v>
      </c>
      <c r="D11" s="3512">
        <v>4.4999999999999998E-2</v>
      </c>
      <c r="E11" s="3516" t="s">
        <v>2400</v>
      </c>
      <c r="F11" s="3514">
        <f>ROUND(1-(1/(POWER(1+D11,B11))),4)</f>
        <v>0.95409999999999995</v>
      </c>
      <c r="I11" s="2198" t="s">
        <v>2471</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336"/>
    </row>
    <row r="12" spans="1:19" ht="14.5" thickBot="1">
      <c r="A12" s="3515" t="s">
        <v>2401</v>
      </c>
      <c r="B12" s="3513">
        <v>40</v>
      </c>
      <c r="C12" s="3516" t="s">
        <v>2402</v>
      </c>
      <c r="D12" s="3512">
        <v>4.4999999999999998E-2</v>
      </c>
      <c r="E12" s="3516" t="s">
        <v>2403</v>
      </c>
      <c r="F12" s="3514">
        <f>ROUND(1-(1/(POWER(1+D12,B12))),4)</f>
        <v>0.82809999999999995</v>
      </c>
      <c r="I12" s="3499" t="s">
        <v>2472</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336"/>
    </row>
    <row r="13" spans="1:19">
      <c r="A13" s="2192" t="s">
        <v>2404</v>
      </c>
      <c r="B13" s="2194"/>
      <c r="C13" s="2194"/>
      <c r="D13" s="2190"/>
      <c r="E13" s="2190"/>
      <c r="F13" s="2191"/>
      <c r="I13" s="3491" t="s">
        <v>3672</v>
      </c>
      <c r="J13" s="3500">
        <v>2.5</v>
      </c>
      <c r="K13" s="3492" t="s">
        <v>3673</v>
      </c>
      <c r="L13" s="3501">
        <v>0.92630000000000001</v>
      </c>
      <c r="M13" s="3492"/>
      <c r="N13" s="2186"/>
      <c r="O13" s="2186"/>
      <c r="P13" s="2186"/>
      <c r="Q13" s="2186"/>
      <c r="R13" s="2187"/>
      <c r="S13" s="4336"/>
    </row>
    <row r="14" spans="1:19">
      <c r="A14" s="3515" t="s">
        <v>2405</v>
      </c>
      <c r="B14" s="3517">
        <v>5000</v>
      </c>
      <c r="C14" s="3518"/>
      <c r="D14" s="2190"/>
      <c r="E14" s="2190"/>
      <c r="F14" s="2191"/>
      <c r="I14" s="2198"/>
      <c r="J14" s="2199" t="s">
        <v>2473</v>
      </c>
      <c r="K14" s="2199" t="s">
        <v>2474</v>
      </c>
      <c r="L14" s="2199" t="s">
        <v>2475</v>
      </c>
      <c r="M14" s="2199" t="s">
        <v>2476</v>
      </c>
      <c r="N14" s="2479" t="s">
        <v>2477</v>
      </c>
      <c r="O14" s="2479" t="s">
        <v>2478</v>
      </c>
      <c r="P14" s="2479" t="s">
        <v>2479</v>
      </c>
      <c r="Q14" s="2479" t="s">
        <v>2480</v>
      </c>
      <c r="R14" s="3493" t="s">
        <v>2481</v>
      </c>
      <c r="S14" s="4336"/>
    </row>
    <row r="15" spans="1:19">
      <c r="A15" s="3515" t="s">
        <v>2406</v>
      </c>
      <c r="B15" s="3519">
        <f>ROUND(B14*F12/F11,2)</f>
        <v>4339.6899999999996</v>
      </c>
      <c r="C15" s="3511">
        <f>ROUND(F12/F11,4)</f>
        <v>0.8679</v>
      </c>
      <c r="D15" s="2190"/>
      <c r="E15" s="2190"/>
      <c r="F15" s="2191"/>
      <c r="I15" s="2198" t="s">
        <v>2470</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336"/>
    </row>
    <row r="16" spans="1:19">
      <c r="A16" s="2192" t="s">
        <v>2407</v>
      </c>
      <c r="B16" s="2599"/>
      <c r="C16" s="2599"/>
      <c r="D16" s="2190"/>
      <c r="E16" s="2190"/>
      <c r="F16" s="2191"/>
      <c r="I16" s="2198" t="s">
        <v>2471</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336"/>
    </row>
    <row r="17" spans="1:19" ht="14.5" thickBot="1">
      <c r="A17" s="3515" t="s">
        <v>2406</v>
      </c>
      <c r="B17" s="3517">
        <v>4810</v>
      </c>
      <c r="C17" s="3518"/>
      <c r="D17" s="2190"/>
      <c r="E17" s="2190"/>
      <c r="F17" s="2191"/>
      <c r="I17" s="3494" t="s">
        <v>2472</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337"/>
    </row>
    <row r="18" spans="1:19" ht="14.5" thickBot="1">
      <c r="A18" s="3520" t="s">
        <v>2405</v>
      </c>
      <c r="B18" s="3521">
        <f>ROUND(B17*F11/F12,2)</f>
        <v>5541.87</v>
      </c>
      <c r="C18" s="3522">
        <f>ROUND(F11/F12,4)</f>
        <v>1.1521999999999999</v>
      </c>
      <c r="D18" s="2196"/>
      <c r="E18" s="2196"/>
      <c r="F18" s="2197"/>
    </row>
    <row r="19" spans="1:19" s="3503" customFormat="1" ht="14.5" thickBot="1">
      <c r="I19" s="3502"/>
      <c r="J19" s="3502"/>
      <c r="K19" s="3502"/>
      <c r="L19" s="3502"/>
      <c r="M19" s="3502"/>
    </row>
    <row r="20" spans="1:19">
      <c r="A20" s="3504" t="s">
        <v>2408</v>
      </c>
      <c r="B20" s="2352"/>
      <c r="C20" s="2352"/>
      <c r="D20" s="2352"/>
      <c r="E20" s="2352"/>
      <c r="F20" s="2352"/>
      <c r="G20" s="3505"/>
      <c r="I20" s="2219" t="s">
        <v>2453</v>
      </c>
      <c r="J20" s="2219" t="s">
        <v>2458</v>
      </c>
    </row>
    <row r="21" spans="1:19">
      <c r="A21" s="2198"/>
      <c r="B21" s="2199" t="s">
        <v>2409</v>
      </c>
      <c r="C21" s="2199" t="s">
        <v>2410</v>
      </c>
      <c r="D21" s="2199" t="s">
        <v>2411</v>
      </c>
      <c r="E21" s="2199" t="s">
        <v>2412</v>
      </c>
      <c r="F21" s="2199" t="s">
        <v>2413</v>
      </c>
      <c r="G21" s="2200" t="s">
        <v>2414</v>
      </c>
      <c r="I21" s="2601">
        <v>5</v>
      </c>
      <c r="J21" s="2600">
        <v>54.2</v>
      </c>
      <c r="K21" s="2600"/>
    </row>
    <row r="22" spans="1:19">
      <c r="A22" s="2198" t="s">
        <v>2415</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2416</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2456</v>
      </c>
      <c r="N23" s="2486" t="s">
        <v>2457</v>
      </c>
    </row>
    <row r="24" spans="1:19">
      <c r="A24" s="2198" t="s">
        <v>2417</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2455</v>
      </c>
      <c r="N24" s="2602">
        <v>10</v>
      </c>
    </row>
    <row r="25" spans="1:19">
      <c r="A25" s="2198" t="s">
        <v>2418</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2459</v>
      </c>
      <c r="N25" s="2602">
        <v>8</v>
      </c>
    </row>
    <row r="26" spans="1:19">
      <c r="A26" s="2201"/>
      <c r="B26" s="2202"/>
      <c r="C26" s="2202"/>
      <c r="D26" s="2202"/>
      <c r="E26" s="2202"/>
      <c r="F26" s="2202"/>
      <c r="G26" s="2203"/>
      <c r="I26" s="2601">
        <v>30</v>
      </c>
      <c r="J26" s="2600">
        <v>90.5</v>
      </c>
      <c r="K26" s="2600">
        <f t="shared" si="7"/>
        <v>4.2000000000000028</v>
      </c>
      <c r="L26" s="2219" t="s">
        <v>2460</v>
      </c>
      <c r="N26" s="2602">
        <v>5</v>
      </c>
    </row>
    <row r="27" spans="1:19">
      <c r="A27" s="2201" t="s">
        <v>2419</v>
      </c>
      <c r="B27" s="2202"/>
      <c r="C27" s="2202"/>
      <c r="D27" s="2202"/>
      <c r="E27" s="2202"/>
      <c r="F27" s="2202"/>
      <c r="G27" s="2203"/>
      <c r="I27" s="2601">
        <v>35</v>
      </c>
      <c r="J27" s="2600">
        <v>93.8</v>
      </c>
      <c r="K27" s="2600">
        <f t="shared" si="7"/>
        <v>3.2999999999999972</v>
      </c>
      <c r="L27" s="2219" t="s">
        <v>2461</v>
      </c>
      <c r="N27" s="2602">
        <v>3</v>
      </c>
    </row>
    <row r="28" spans="1:19">
      <c r="A28" s="2201" t="s">
        <v>2420</v>
      </c>
      <c r="B28" s="2202"/>
      <c r="C28" s="2202"/>
      <c r="D28" s="2202"/>
      <c r="E28" s="2202"/>
      <c r="F28" s="2202"/>
      <c r="G28" s="2203"/>
      <c r="I28" s="2601">
        <v>40</v>
      </c>
      <c r="J28" s="2600">
        <v>96.4</v>
      </c>
      <c r="K28" s="2600">
        <f t="shared" si="7"/>
        <v>2.6000000000000085</v>
      </c>
      <c r="L28" s="2219" t="s">
        <v>2462</v>
      </c>
      <c r="N28" s="2602">
        <v>2</v>
      </c>
    </row>
    <row r="29" spans="1:19">
      <c r="A29" s="2201" t="s">
        <v>2421</v>
      </c>
      <c r="B29" s="2202"/>
      <c r="C29" s="2202"/>
      <c r="D29" s="2202"/>
      <c r="E29" s="2202"/>
      <c r="F29" s="2202"/>
      <c r="G29" s="2203"/>
      <c r="I29" s="2601">
        <v>45</v>
      </c>
      <c r="J29" s="2600">
        <v>98.4</v>
      </c>
      <c r="K29" s="2600">
        <f t="shared" si="7"/>
        <v>2</v>
      </c>
    </row>
    <row r="30" spans="1:19">
      <c r="A30" s="2201" t="s">
        <v>2422</v>
      </c>
      <c r="B30" s="2202"/>
      <c r="C30" s="2202"/>
      <c r="D30" s="2202"/>
      <c r="E30" s="2202"/>
      <c r="F30" s="2202"/>
      <c r="G30" s="2203"/>
      <c r="I30" s="2601">
        <v>50</v>
      </c>
      <c r="J30" s="2600">
        <v>100</v>
      </c>
      <c r="K30" s="2600">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601">
        <v>5</v>
      </c>
      <c r="J34" s="2600">
        <v>55.1</v>
      </c>
      <c r="K34" s="2600"/>
    </row>
    <row r="35" spans="1:15">
      <c r="A35" s="2201" t="s">
        <v>2427</v>
      </c>
      <c r="B35" s="2202"/>
      <c r="C35" s="2202"/>
      <c r="D35" s="2202"/>
      <c r="E35" s="2202"/>
      <c r="F35" s="2202"/>
      <c r="G35" s="2203"/>
      <c r="I35" s="2601">
        <v>10</v>
      </c>
      <c r="J35" s="2600">
        <v>67</v>
      </c>
      <c r="K35" s="2600">
        <f>J35-J34</f>
        <v>11.899999999999999</v>
      </c>
    </row>
    <row r="36" spans="1:15">
      <c r="A36" s="2201" t="s">
        <v>2428</v>
      </c>
      <c r="B36" s="2202"/>
      <c r="C36" s="2202"/>
      <c r="D36" s="2202"/>
      <c r="E36" s="2202"/>
      <c r="F36" s="2202"/>
      <c r="G36" s="2203"/>
      <c r="I36" s="2601">
        <v>15</v>
      </c>
      <c r="J36" s="2600">
        <v>76.3</v>
      </c>
      <c r="K36" s="2600">
        <f t="shared" ref="K36:K41" si="8">J36-J35</f>
        <v>9.2999999999999972</v>
      </c>
      <c r="L36" s="2219" t="s">
        <v>2456</v>
      </c>
      <c r="N36" s="2486" t="s">
        <v>2457</v>
      </c>
    </row>
    <row r="37" spans="1:15">
      <c r="A37" s="2201" t="s">
        <v>2429</v>
      </c>
      <c r="B37" s="2202"/>
      <c r="C37" s="2202"/>
      <c r="D37" s="2202"/>
      <c r="E37" s="2202"/>
      <c r="F37" s="2202"/>
      <c r="G37" s="2203"/>
      <c r="I37" s="2601">
        <v>20</v>
      </c>
      <c r="J37" s="2600">
        <v>83.6</v>
      </c>
      <c r="K37" s="2600">
        <f t="shared" si="8"/>
        <v>7.2999999999999972</v>
      </c>
      <c r="L37" s="2219" t="s">
        <v>2455</v>
      </c>
      <c r="N37" s="2602">
        <v>10</v>
      </c>
    </row>
    <row r="38" spans="1:15">
      <c r="A38" s="2201" t="s">
        <v>2430</v>
      </c>
      <c r="B38" s="2202"/>
      <c r="C38" s="2202"/>
      <c r="D38" s="2202"/>
      <c r="E38" s="2202"/>
      <c r="F38" s="2202"/>
      <c r="G38" s="2203"/>
      <c r="I38" s="2601">
        <v>25</v>
      </c>
      <c r="J38" s="2600">
        <v>89.3</v>
      </c>
      <c r="K38" s="2600">
        <f t="shared" si="8"/>
        <v>5.7000000000000028</v>
      </c>
      <c r="L38" s="2219" t="s">
        <v>2459</v>
      </c>
      <c r="N38" s="2602">
        <v>8</v>
      </c>
    </row>
    <row r="39" spans="1:15">
      <c r="A39" s="2201"/>
      <c r="B39" s="2202"/>
      <c r="C39" s="2202"/>
      <c r="D39" s="2202"/>
      <c r="E39" s="2202"/>
      <c r="F39" s="2202"/>
      <c r="G39" s="2203"/>
      <c r="I39" s="2601">
        <v>30</v>
      </c>
      <c r="J39" s="2600">
        <v>93.8</v>
      </c>
      <c r="K39" s="2600">
        <f t="shared" si="8"/>
        <v>4.5</v>
      </c>
      <c r="L39" s="2219" t="s">
        <v>2460</v>
      </c>
      <c r="N39" s="2602">
        <v>6</v>
      </c>
    </row>
    <row r="40" spans="1:15">
      <c r="A40" s="2204" t="s">
        <v>2431</v>
      </c>
      <c r="B40" s="2205"/>
      <c r="C40" s="2205"/>
      <c r="D40" s="2205"/>
      <c r="E40" s="2205"/>
      <c r="F40" s="2205"/>
      <c r="G40" s="2206"/>
      <c r="I40" s="2601">
        <v>35</v>
      </c>
      <c r="J40" s="2600">
        <v>97.2</v>
      </c>
      <c r="K40" s="2600">
        <f t="shared" si="8"/>
        <v>3.4000000000000057</v>
      </c>
      <c r="L40" s="2219" t="s">
        <v>2461</v>
      </c>
      <c r="N40" s="2602">
        <v>3</v>
      </c>
    </row>
    <row r="41" spans="1:15">
      <c r="A41" s="2207" t="s">
        <v>2432</v>
      </c>
      <c r="B41" s="2208" t="s">
        <v>2433</v>
      </c>
      <c r="C41" s="2209" t="s">
        <v>2434</v>
      </c>
      <c r="D41" s="2209" t="s">
        <v>2435</v>
      </c>
      <c r="E41" s="2210"/>
      <c r="F41" s="2211"/>
      <c r="G41" s="2212"/>
      <c r="I41" s="2601">
        <v>40</v>
      </c>
      <c r="J41" s="2600">
        <v>100</v>
      </c>
      <c r="K41" s="2600">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601">
        <v>30</v>
      </c>
      <c r="J44" s="2600">
        <v>81.7</v>
      </c>
      <c r="K44" s="2600"/>
    </row>
    <row r="45" spans="1:15" ht="14.5" thickBot="1">
      <c r="A45" s="2214" t="s">
        <v>2450</v>
      </c>
      <c r="B45" s="2215" t="s">
        <v>2437</v>
      </c>
      <c r="C45" s="2216" t="s">
        <v>2437</v>
      </c>
      <c r="D45" s="2216" t="s">
        <v>2451</v>
      </c>
      <c r="E45" s="2217" t="s">
        <v>2452</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5" thickBot="1">
      <c r="N48" s="3503"/>
      <c r="O48" s="3503"/>
    </row>
    <row r="49" spans="1:16" s="3971" customFormat="1" ht="15" thickTop="1" thickBot="1">
      <c r="A49" s="3969" t="s">
        <v>3349</v>
      </c>
      <c r="B49" s="3970"/>
      <c r="C49" s="3970"/>
      <c r="D49" s="3970"/>
      <c r="E49" s="3970"/>
      <c r="I49" s="4333" t="s">
        <v>3982</v>
      </c>
      <c r="J49" s="4333"/>
      <c r="K49" s="4333"/>
      <c r="L49" s="4333"/>
      <c r="M49" s="4333"/>
      <c r="N49" s="2196"/>
      <c r="O49" s="2196"/>
    </row>
    <row r="50" spans="1:16">
      <c r="A50" s="2612" t="s">
        <v>3350</v>
      </c>
      <c r="B50" s="2615" t="s">
        <v>3351</v>
      </c>
      <c r="C50" s="2618" t="s">
        <v>3352</v>
      </c>
      <c r="D50" s="2619" t="s">
        <v>3360</v>
      </c>
      <c r="E50" s="2620" t="s">
        <v>3359</v>
      </c>
      <c r="F50" s="2621" t="s">
        <v>3366</v>
      </c>
      <c r="I50" s="4096" t="s">
        <v>3361</v>
      </c>
      <c r="J50" s="4097" t="s">
        <v>3362</v>
      </c>
      <c r="K50" s="4097" t="s">
        <v>3363</v>
      </c>
      <c r="L50" s="4097" t="s">
        <v>3364</v>
      </c>
      <c r="M50" s="4098" t="s">
        <v>3365</v>
      </c>
      <c r="N50" s="4104" t="s">
        <v>3978</v>
      </c>
      <c r="O50" s="4098" t="s">
        <v>3979</v>
      </c>
    </row>
    <row r="51" spans="1:16">
      <c r="A51" s="1882" t="s">
        <v>3827</v>
      </c>
      <c r="B51" s="2616">
        <f>B52+B53</f>
        <v>9993</v>
      </c>
      <c r="C51" s="2616">
        <f>E51/B51</f>
        <v>3673.221254878415</v>
      </c>
      <c r="D51" s="2625"/>
      <c r="E51" s="2628">
        <f>E52+E53</f>
        <v>36706500</v>
      </c>
      <c r="F51" s="3934">
        <f>E51/$E$62</f>
        <v>0.45145729385019301</v>
      </c>
      <c r="I51" s="2198"/>
      <c r="J51" s="2199"/>
      <c r="K51" s="2199"/>
      <c r="L51" s="2199"/>
      <c r="M51" s="2200"/>
      <c r="N51" s="4105"/>
      <c r="O51" s="4106"/>
    </row>
    <row r="52" spans="1:16" ht="14.5">
      <c r="A52" s="2613" t="s">
        <v>3353</v>
      </c>
      <c r="B52" s="2605">
        <v>5508</v>
      </c>
      <c r="C52" s="2624"/>
      <c r="D52" s="2607">
        <v>3000</v>
      </c>
      <c r="E52" s="2627">
        <f>D52*B52</f>
        <v>16524000</v>
      </c>
      <c r="F52" s="2622"/>
      <c r="G52" s="2604" t="s">
        <v>3828</v>
      </c>
      <c r="H52" s="2604"/>
      <c r="I52" s="4099">
        <f>E52</f>
        <v>16524000</v>
      </c>
      <c r="J52" s="2610">
        <f>E55</f>
        <v>9914400</v>
      </c>
      <c r="K52" s="2610">
        <f>E58</f>
        <v>24786000</v>
      </c>
      <c r="L52" s="2610">
        <f>E60*B52/B51</f>
        <v>1735020.0000000005</v>
      </c>
      <c r="M52" s="4100">
        <f>E61*B52/B51</f>
        <v>878727.40330231166</v>
      </c>
      <c r="N52" s="4107">
        <f>SUM(I52:M52)</f>
        <v>53838147.403302312</v>
      </c>
      <c r="O52" s="4100">
        <f>N52/B52</f>
        <v>9774.5365655959176</v>
      </c>
      <c r="P52" s="3939" t="s">
        <v>3980</v>
      </c>
    </row>
    <row r="53" spans="1:16" ht="15" thickBot="1">
      <c r="A53" s="2613" t="s">
        <v>3354</v>
      </c>
      <c r="B53" s="2605">
        <v>4485</v>
      </c>
      <c r="C53" s="2624"/>
      <c r="D53" s="2607">
        <v>4500</v>
      </c>
      <c r="E53" s="2627">
        <f>D53*B53</f>
        <v>20182500</v>
      </c>
      <c r="F53" s="2622"/>
      <c r="G53" s="2604" t="s">
        <v>3829</v>
      </c>
      <c r="H53" s="2604"/>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3981</v>
      </c>
    </row>
    <row r="54" spans="1:16">
      <c r="A54" s="1882" t="s">
        <v>3355</v>
      </c>
      <c r="B54" s="2616">
        <f>B51</f>
        <v>9993</v>
      </c>
      <c r="C54" s="2616">
        <f>E54/B54</f>
        <v>1283.8637045932153</v>
      </c>
      <c r="D54" s="3935"/>
      <c r="E54" s="2628">
        <f>E55+E56</f>
        <v>12829650</v>
      </c>
      <c r="F54" s="3934">
        <f>E54/$E$62</f>
        <v>0.15779328102775064</v>
      </c>
      <c r="G54" s="2604"/>
      <c r="H54" s="2604"/>
    </row>
    <row r="55" spans="1:16" ht="14.5">
      <c r="A55" s="2613" t="s">
        <v>3825</v>
      </c>
      <c r="B55" s="3933">
        <f>B52</f>
        <v>5508</v>
      </c>
      <c r="C55" s="2616"/>
      <c r="D55" s="3936">
        <v>1800</v>
      </c>
      <c r="E55" s="2627">
        <f>D55*B55</f>
        <v>9914400</v>
      </c>
      <c r="F55" s="2622"/>
      <c r="G55" s="2604" t="s">
        <v>3830</v>
      </c>
      <c r="H55" s="2604"/>
    </row>
    <row r="56" spans="1:16" ht="14.5">
      <c r="A56" s="2613" t="s">
        <v>3826</v>
      </c>
      <c r="B56" s="3933">
        <f>B53</f>
        <v>4485</v>
      </c>
      <c r="C56" s="2616"/>
      <c r="D56" s="3936">
        <v>650</v>
      </c>
      <c r="E56" s="2627">
        <f>D56*B56</f>
        <v>2915250</v>
      </c>
      <c r="F56" s="2622"/>
      <c r="G56" s="2604" t="s">
        <v>3831</v>
      </c>
      <c r="H56" s="2604"/>
    </row>
    <row r="57" spans="1:16">
      <c r="A57" s="3932" t="s">
        <v>3824</v>
      </c>
      <c r="B57" s="2616">
        <f>B51</f>
        <v>9993</v>
      </c>
      <c r="C57" s="2616">
        <f>E57/B57</f>
        <v>2704.7433203242272</v>
      </c>
      <c r="D57" s="3935"/>
      <c r="E57" s="2628">
        <f>E58+E59</f>
        <v>27028500</v>
      </c>
      <c r="F57" s="2622">
        <f>E57/$E$62</f>
        <v>0.33242650393881035</v>
      </c>
      <c r="G57" s="2604"/>
      <c r="H57" s="2604"/>
      <c r="I57" s="4334" t="s">
        <v>3367</v>
      </c>
      <c r="J57" s="4334"/>
      <c r="K57" s="4334"/>
      <c r="L57" s="4334"/>
      <c r="M57" s="4334"/>
      <c r="N57" s="2190"/>
    </row>
    <row r="58" spans="1:16" ht="14.5">
      <c r="A58" s="2613" t="s">
        <v>3825</v>
      </c>
      <c r="B58" s="3933">
        <f>B52</f>
        <v>5508</v>
      </c>
      <c r="C58" s="2605">
        <v>4500</v>
      </c>
      <c r="D58" s="3951"/>
      <c r="E58" s="2627">
        <f>C58*B58</f>
        <v>24786000</v>
      </c>
      <c r="F58" s="2622"/>
      <c r="G58" s="2604"/>
      <c r="H58" s="2604"/>
      <c r="I58" s="2610">
        <f>I52+I53</f>
        <v>36706500</v>
      </c>
      <c r="J58" s="2610">
        <f t="shared" ref="J58:M58" si="10">J52+J53</f>
        <v>12829650</v>
      </c>
      <c r="K58" s="2610">
        <f t="shared" si="10"/>
        <v>27028500</v>
      </c>
      <c r="L58" s="2610">
        <f t="shared" si="10"/>
        <v>3147795.0000000005</v>
      </c>
      <c r="M58" s="3940">
        <f t="shared" si="10"/>
        <v>1594248.9000000001</v>
      </c>
      <c r="N58" s="3940">
        <f>SUM(I58:M58)</f>
        <v>81306693.900000006</v>
      </c>
    </row>
    <row r="59" spans="1:16" ht="14.5">
      <c r="A59" s="2613" t="s">
        <v>3826</v>
      </c>
      <c r="B59" s="3933">
        <f>B53</f>
        <v>4485</v>
      </c>
      <c r="C59" s="2605">
        <v>500</v>
      </c>
      <c r="D59" s="3951"/>
      <c r="E59" s="2627">
        <f>C59*B59</f>
        <v>2242500</v>
      </c>
      <c r="F59" s="2622"/>
      <c r="G59" s="2604" t="s">
        <v>3840</v>
      </c>
      <c r="H59" s="2604"/>
      <c r="I59" s="2611">
        <f>I58/$E$62</f>
        <v>0.45145729385019301</v>
      </c>
      <c r="J59" s="2611">
        <f t="shared" ref="J59:M59" si="11">J58/$E$62</f>
        <v>0.15779328102775064</v>
      </c>
      <c r="K59" s="2611">
        <f t="shared" si="11"/>
        <v>0.33242650393881035</v>
      </c>
      <c r="L59" s="2611">
        <f t="shared" si="11"/>
        <v>3.8715078045990996E-2</v>
      </c>
      <c r="M59" s="3941">
        <f t="shared" si="11"/>
        <v>1.9607843137254902E-2</v>
      </c>
      <c r="N59" s="3941">
        <f>SUM(I59:M59)</f>
        <v>0.99999999999999989</v>
      </c>
    </row>
    <row r="60" spans="1:16">
      <c r="A60" s="1882" t="s">
        <v>3357</v>
      </c>
      <c r="B60" s="2606">
        <f>B51*0.07</f>
        <v>699.5100000000001</v>
      </c>
      <c r="C60" s="2616">
        <f>E60/B51</f>
        <v>315.00000000000006</v>
      </c>
      <c r="D60" s="3938">
        <f>D53</f>
        <v>4500</v>
      </c>
      <c r="E60" s="2628">
        <f>D60*B60</f>
        <v>3147795.0000000005</v>
      </c>
      <c r="F60" s="2622">
        <f>E60/$E$62</f>
        <v>3.8715078045990996E-2</v>
      </c>
      <c r="G60" s="3952">
        <f>B60/(B62+B60)</f>
        <v>6.5420560747663559E-2</v>
      </c>
      <c r="H60" s="3939" t="s">
        <v>3841</v>
      </c>
    </row>
    <row r="61" spans="1:16">
      <c r="A61" s="1882" t="s">
        <v>3356</v>
      </c>
      <c r="B61" s="3937">
        <f>B51</f>
        <v>9993</v>
      </c>
      <c r="C61" s="2616">
        <f>E61/B61</f>
        <v>159.53656559591715</v>
      </c>
      <c r="D61" s="2608">
        <v>0.02</v>
      </c>
      <c r="E61" s="2628">
        <f>(E51+E54+E57+E60)*D61</f>
        <v>1594248.9000000001</v>
      </c>
      <c r="F61" s="2622">
        <f>E61/$E$62</f>
        <v>1.9607843137254902E-2</v>
      </c>
      <c r="G61" s="2604" t="s">
        <v>3832</v>
      </c>
    </row>
    <row r="62" spans="1:16" ht="14.5" thickBot="1">
      <c r="A62" s="2614" t="s">
        <v>3358</v>
      </c>
      <c r="B62" s="2617">
        <f>B51</f>
        <v>9993</v>
      </c>
      <c r="C62" s="2626">
        <f>C51+C54+C57+C61+C60</f>
        <v>8136.364845391774</v>
      </c>
      <c r="D62" s="3528">
        <f>E62/B62</f>
        <v>8136.3648453917749</v>
      </c>
      <c r="E62" s="2609">
        <f>E51+E54+E57+E61+E60</f>
        <v>81306693.900000006</v>
      </c>
      <c r="F62" s="2623">
        <f>F51+F54+F57+F60+F61</f>
        <v>0.99999999999999989</v>
      </c>
      <c r="G62" s="3939"/>
    </row>
    <row r="63" spans="1:16">
      <c r="B63" s="2603"/>
      <c r="C63" s="2603"/>
      <c r="D63" s="2603"/>
    </row>
    <row r="65" spans="1:4" ht="14.5" thickBot="1">
      <c r="B65" s="2603"/>
      <c r="C65" s="2603"/>
      <c r="D65" s="2603"/>
    </row>
    <row r="66" spans="1:4">
      <c r="A66" s="3943" t="s">
        <v>3833</v>
      </c>
      <c r="B66" s="3944"/>
      <c r="C66" s="3944"/>
      <c r="D66" s="3945"/>
    </row>
    <row r="67" spans="1:4">
      <c r="A67" s="3946" t="s">
        <v>3836</v>
      </c>
      <c r="B67" s="3942"/>
      <c r="C67" s="3942"/>
      <c r="D67" s="3949" t="s">
        <v>3838</v>
      </c>
    </row>
    <row r="68" spans="1:4">
      <c r="A68" s="3946" t="s">
        <v>3837</v>
      </c>
      <c r="B68" s="3942"/>
      <c r="C68" s="3942"/>
      <c r="D68" s="3949" t="s">
        <v>3839</v>
      </c>
    </row>
    <row r="69" spans="1:4" ht="14.5" thickBot="1">
      <c r="A69" s="3947" t="s">
        <v>3834</v>
      </c>
      <c r="B69" s="3948"/>
      <c r="C69" s="3948"/>
      <c r="D69" s="3950"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45" t="str">
        <f>IF(B10="北京市","北京市",C10)&amp;F10&amp;IF(结果表!G1="在建","出让国有建设用地使用权及在建建筑物",IF(结果表!G1="土地","出让国有建设用地使用权",))&amp;B9&amp;"预评估"</f>
        <v>北京市东城区朝阳门北大街8号房地产抵押价值预评估</v>
      </c>
      <c r="C1" s="4346"/>
      <c r="D1" s="4346"/>
      <c r="E1" s="4346"/>
      <c r="F1" s="4346"/>
      <c r="G1" s="4346"/>
      <c r="H1" s="4346"/>
      <c r="I1" s="4347"/>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北京市东城区朝阳门北大街8号房地产抵押价值</v>
      </c>
      <c r="T1" s="1249"/>
      <c r="U1" s="1249"/>
      <c r="V1" s="1249"/>
      <c r="W1" s="1249"/>
      <c r="X1" s="1249"/>
      <c r="Y1" s="1249"/>
      <c r="Z1" s="1249"/>
      <c r="AA1" s="1249"/>
      <c r="AB1" s="1249"/>
    </row>
    <row r="2" spans="1:30" ht="13">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北京市东城区朝阳门北大街8号房地产</v>
      </c>
      <c r="T2" s="1249"/>
      <c r="U2" s="1249"/>
      <c r="V2" s="1249"/>
      <c r="W2" s="1249"/>
      <c r="X2" s="1249"/>
      <c r="Y2" s="1249"/>
      <c r="Z2" s="1249"/>
      <c r="AA2" s="1249"/>
      <c r="AB2" s="1249"/>
    </row>
    <row r="3" spans="1:30" ht="13">
      <c r="A3" s="186" t="s">
        <v>2074</v>
      </c>
      <c r="B3" s="1730"/>
      <c r="C3" s="1731" t="s">
        <v>2075</v>
      </c>
      <c r="D3" s="1730">
        <v>46090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2079</v>
      </c>
      <c r="B7" s="1743"/>
      <c r="C7" s="1741"/>
      <c r="D7" s="1742"/>
      <c r="E7" s="1930"/>
      <c r="F7" s="1931"/>
      <c r="G7" s="1931"/>
      <c r="H7" s="1931"/>
      <c r="I7" s="1931"/>
      <c r="J7" s="1785"/>
      <c r="K7" s="1892"/>
      <c r="L7" s="1889"/>
      <c r="M7" s="1889"/>
      <c r="N7" s="1785"/>
      <c r="O7" s="1296"/>
      <c r="P7" s="1785"/>
      <c r="Q7" s="1785"/>
      <c r="R7" s="1785"/>
    </row>
    <row r="8" spans="1:30" ht="13">
      <c r="A8" s="1744" t="s">
        <v>2080</v>
      </c>
      <c r="B8" s="1745" t="s">
        <v>4093</v>
      </c>
      <c r="C8" s="1746"/>
      <c r="D8" s="4348" t="s">
        <v>2081</v>
      </c>
      <c r="E8" s="1747" t="s">
        <v>4094</v>
      </c>
      <c r="F8" s="1748"/>
      <c r="G8" s="1931"/>
      <c r="H8" s="1931"/>
      <c r="I8" s="1931"/>
      <c r="J8" s="1785"/>
      <c r="K8" s="1890"/>
      <c r="L8" s="1889"/>
      <c r="M8" s="1889"/>
      <c r="N8" s="1785"/>
      <c r="O8" s="1296"/>
      <c r="P8" s="1785"/>
      <c r="Q8" s="1785"/>
      <c r="R8" s="1785"/>
    </row>
    <row r="9" spans="1:30" ht="13.5" thickBot="1">
      <c r="A9" s="1749" t="s">
        <v>2082</v>
      </c>
      <c r="B9" s="1750" t="s">
        <v>4094</v>
      </c>
      <c r="C9" s="1751"/>
      <c r="D9" s="4349"/>
      <c r="E9" s="1750" t="s">
        <v>581</v>
      </c>
      <c r="F9" s="1752"/>
      <c r="G9" s="1932"/>
      <c r="H9" s="1932"/>
      <c r="I9" s="1932"/>
      <c r="J9" s="1785"/>
      <c r="K9" s="1892"/>
      <c r="L9" s="1889"/>
      <c r="M9" s="1889"/>
      <c r="N9" s="1785"/>
      <c r="O9" s="1296"/>
      <c r="P9" s="1785"/>
      <c r="Q9" s="1785"/>
      <c r="R9" s="1785"/>
    </row>
    <row r="10" spans="1:30" ht="13.5" thickTop="1">
      <c r="A10" s="1753" t="s">
        <v>2083</v>
      </c>
      <c r="B10" s="3410" t="s">
        <v>4095</v>
      </c>
      <c r="C10" s="1754"/>
      <c r="D10" s="1738"/>
      <c r="E10" s="1755" t="s">
        <v>2084</v>
      </c>
      <c r="F10" s="1933" t="s">
        <v>4098</v>
      </c>
      <c r="G10" s="1934"/>
      <c r="H10" s="1935"/>
      <c r="I10" s="1936"/>
      <c r="J10" s="1785"/>
      <c r="K10" s="1892"/>
      <c r="L10" s="1889"/>
      <c r="M10" s="1889"/>
      <c r="N10" s="1785"/>
      <c r="O10" s="1296"/>
      <c r="P10" s="1785"/>
      <c r="Q10" s="1785"/>
      <c r="R10" s="1785"/>
    </row>
    <row r="11" spans="1:30" ht="25">
      <c r="A11" s="1756" t="s">
        <v>2085</v>
      </c>
      <c r="B11" s="2469" t="s">
        <v>4096</v>
      </c>
      <c r="C11" s="1757" t="s">
        <v>4097</v>
      </c>
      <c r="D11" s="1758"/>
      <c r="E11" s="1727"/>
      <c r="F11" s="1727"/>
      <c r="G11" s="1727"/>
      <c r="H11" s="1727"/>
      <c r="I11" s="1727"/>
      <c r="J11" s="2221"/>
      <c r="K11" s="1889"/>
      <c r="L11" s="1889"/>
      <c r="M11" s="1889"/>
      <c r="N11" s="1785"/>
      <c r="O11" s="1296"/>
      <c r="P11" s="1785"/>
      <c r="Q11" s="1785"/>
      <c r="R11" s="1785"/>
    </row>
    <row r="12" spans="1:30" ht="13">
      <c r="A12" s="1759" t="s">
        <v>2086</v>
      </c>
      <c r="B12" s="206" t="s">
        <v>2087</v>
      </c>
      <c r="C12" s="1760" t="s">
        <v>2088</v>
      </c>
      <c r="D12" s="1760" t="s">
        <v>2089</v>
      </c>
      <c r="E12" s="1760" t="s">
        <v>2090</v>
      </c>
      <c r="F12" s="1760" t="s">
        <v>2091</v>
      </c>
      <c r="G12" s="1760" t="s">
        <v>2092</v>
      </c>
      <c r="H12" s="1760" t="s">
        <v>2093</v>
      </c>
      <c r="I12" s="2220" t="s">
        <v>2465</v>
      </c>
      <c r="J12" s="2222"/>
      <c r="K12" s="1889"/>
      <c r="L12" s="1889"/>
      <c r="M12" s="1785"/>
      <c r="N12" s="1296"/>
      <c r="O12" s="1785"/>
      <c r="P12" s="1785"/>
      <c r="Q12" s="1785"/>
      <c r="AD12" s="1249"/>
    </row>
    <row r="13" spans="1:30" ht="13">
      <c r="A13" s="2469" t="s">
        <v>3219</v>
      </c>
      <c r="B13" s="1761" t="s">
        <v>2094</v>
      </c>
      <c r="C13" s="546"/>
      <c r="D13" s="546"/>
      <c r="E13" s="546">
        <v>52610</v>
      </c>
      <c r="F13" s="546"/>
      <c r="G13" s="546"/>
      <c r="H13" s="546"/>
      <c r="I13" s="546"/>
      <c r="J13" s="2222"/>
      <c r="K13" s="1889"/>
      <c r="L13" s="1889"/>
      <c r="M13" s="1785"/>
      <c r="N13" s="1296"/>
      <c r="O13" s="1785"/>
      <c r="P13" s="1785"/>
      <c r="Q13" s="1785"/>
      <c r="AD13" s="1249"/>
    </row>
    <row r="14" spans="1:30" ht="13">
      <c r="A14" s="718"/>
      <c r="B14" s="1761" t="s">
        <v>2095</v>
      </c>
      <c r="C14" s="1762"/>
      <c r="D14" s="1762"/>
      <c r="E14" s="1762">
        <v>50</v>
      </c>
      <c r="F14" s="1762"/>
      <c r="G14" s="1762"/>
      <c r="H14" s="1762"/>
      <c r="I14" s="1762"/>
      <c r="J14" s="2223"/>
      <c r="K14" s="1889"/>
      <c r="L14" s="1889"/>
      <c r="M14" s="1785"/>
      <c r="N14" s="1296"/>
      <c r="O14" s="1785"/>
      <c r="P14" s="1785"/>
      <c r="Q14" s="1785"/>
      <c r="AD14" s="1249"/>
    </row>
    <row r="15" spans="1:30" ht="13">
      <c r="A15" s="203"/>
      <c r="B15" s="1763" t="s">
        <v>2096</v>
      </c>
      <c r="C15" s="6" t="str">
        <f>IF(A13="出让",IF(C13="","",ROUNDDOWN(MIN((C13-$D$3)/365,C14),2)),C14)</f>
        <v/>
      </c>
      <c r="D15" s="6" t="str">
        <f>IF(A13="出让",IF(D13="","",ROUNDDOWN(MIN((D13-$D$3)/365,D14),2)),D14)</f>
        <v/>
      </c>
      <c r="E15" s="6">
        <f>IF(A13="出让",IF(E13="","",ROUNDDOWN(MIN((E13-$D$3)/365,E14),2)),E14)</f>
        <v>17.86</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ht="13">
      <c r="A16" s="1755" t="s">
        <v>2097</v>
      </c>
      <c r="B16" s="4355"/>
      <c r="C16" s="4356"/>
      <c r="D16" s="4357"/>
      <c r="E16" s="1764" t="s">
        <v>2098</v>
      </c>
      <c r="F16" s="4358"/>
      <c r="G16" s="4359"/>
      <c r="H16" s="4359"/>
      <c r="I16" s="4360"/>
      <c r="J16" s="1785"/>
      <c r="K16" s="1893"/>
      <c r="L16" s="1296"/>
      <c r="M16" s="1296"/>
      <c r="N16" s="1785"/>
      <c r="O16" s="1296"/>
      <c r="P16" s="1785"/>
      <c r="Q16" s="1785"/>
      <c r="R16" s="1785"/>
    </row>
    <row r="17" spans="1:28" ht="13">
      <c r="A17" s="197" t="s">
        <v>2099</v>
      </c>
      <c r="B17" s="186" t="s">
        <v>2100</v>
      </c>
      <c r="C17" s="9">
        <f>'数据-汇总表'!E3</f>
        <v>12000.230000000001</v>
      </c>
      <c r="D17" s="899" t="s">
        <v>2101</v>
      </c>
      <c r="E17" s="4361" t="s">
        <v>2102</v>
      </c>
      <c r="F17" s="4362"/>
      <c r="G17" s="4362"/>
      <c r="H17" s="4362"/>
      <c r="I17" s="4363"/>
      <c r="J17" s="1785"/>
      <c r="K17" s="1894"/>
      <c r="L17" s="1296"/>
      <c r="M17" s="1296"/>
      <c r="N17" s="1785"/>
      <c r="O17" s="1296"/>
      <c r="P17" s="1785"/>
      <c r="Q17" s="1785"/>
      <c r="R17" s="1785"/>
      <c r="S17" s="1785"/>
      <c r="T17" s="1785"/>
      <c r="U17" s="1785"/>
      <c r="V17" s="1785"/>
    </row>
    <row r="18" spans="1:28" ht="26.5" thickBot="1">
      <c r="A18" s="1765" t="s">
        <v>2103</v>
      </c>
      <c r="B18" s="727" t="s">
        <v>2104</v>
      </c>
      <c r="C18" s="2598">
        <f>'数据-汇总表'!D3</f>
        <v>1066.21</v>
      </c>
      <c r="D18" s="729" t="s">
        <v>2105</v>
      </c>
      <c r="E18" s="4364" t="s">
        <v>2106</v>
      </c>
      <c r="F18" s="4365"/>
      <c r="G18" s="4365"/>
      <c r="H18" s="4365"/>
      <c r="I18" s="4366"/>
      <c r="J18" s="1785"/>
      <c r="K18" s="1894"/>
      <c r="L18" s="1296"/>
      <c r="M18" s="1296"/>
      <c r="N18" s="1785"/>
      <c r="O18" s="1296"/>
      <c r="P18" s="1785"/>
      <c r="Q18" s="1785"/>
      <c r="R18" s="1785"/>
      <c r="S18" s="1785"/>
      <c r="T18" s="1785"/>
      <c r="U18" s="1785"/>
      <c r="V18" s="1785"/>
    </row>
    <row r="19" spans="1:28" ht="40" thickTop="1" thickBot="1">
      <c r="A19" s="210" t="s">
        <v>1039</v>
      </c>
      <c r="B19" s="191" t="s">
        <v>2107</v>
      </c>
      <c r="C19" s="1098" t="s">
        <v>4099</v>
      </c>
      <c r="D19" s="1099" t="s">
        <v>2108</v>
      </c>
      <c r="E19" s="1100" t="s">
        <v>4100</v>
      </c>
      <c r="F19" s="1101" t="str">
        <f>IF(AND(C19="是",E19="否"),"是否提供他项权证或相关说明","")</f>
        <v>是否提供他项权证或相关说明</v>
      </c>
      <c r="G19" s="1102" t="s">
        <v>4100</v>
      </c>
      <c r="H19" s="1931"/>
      <c r="I19" s="1931"/>
      <c r="J19" s="1785"/>
      <c r="K19" s="1892"/>
      <c r="L19" s="1889"/>
      <c r="M19" s="1889"/>
      <c r="N19" s="1785"/>
      <c r="O19" s="1296"/>
      <c r="P19" s="1785"/>
      <c r="Q19" s="1785"/>
      <c r="R19" s="1785"/>
      <c r="S19" s="1785"/>
      <c r="T19" s="1785"/>
      <c r="U19" s="1785"/>
      <c r="V19" s="1785"/>
    </row>
    <row r="20" spans="1:28" ht="13">
      <c r="A20" s="1907" t="s">
        <v>2109</v>
      </c>
      <c r="B20" s="4351" t="s">
        <v>2110</v>
      </c>
      <c r="C20" s="4352"/>
      <c r="D20" s="4353" t="s">
        <v>2111</v>
      </c>
      <c r="E20" s="4354"/>
      <c r="F20" s="1920" t="s">
        <v>1040</v>
      </c>
      <c r="G20" s="1931"/>
      <c r="H20" s="1931"/>
      <c r="I20" s="1931"/>
      <c r="J20" s="1785"/>
      <c r="K20" s="4350"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2113</v>
      </c>
      <c r="C21" s="1836" t="s">
        <v>1041</v>
      </c>
      <c r="D21" s="1103" t="s">
        <v>2114</v>
      </c>
      <c r="E21" s="1909" t="s">
        <v>1041</v>
      </c>
      <c r="F21" s="1921"/>
      <c r="G21" s="1931"/>
      <c r="H21" s="1931"/>
      <c r="I21" s="1931"/>
      <c r="J21" s="1785"/>
      <c r="K21" s="435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2115</v>
      </c>
      <c r="C22" s="1836" t="s">
        <v>1042</v>
      </c>
      <c r="D22" s="1931"/>
      <c r="E22" s="1931"/>
      <c r="F22" s="1931"/>
      <c r="G22" s="1931"/>
      <c r="H22" s="1931"/>
      <c r="I22" s="1931"/>
      <c r="J22" s="1785"/>
      <c r="K22" s="435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9" t="s">
        <v>2118</v>
      </c>
      <c r="B27" s="203" t="s">
        <v>2119</v>
      </c>
      <c r="C27" s="1766" t="s">
        <v>4101</v>
      </c>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339"/>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339"/>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340"/>
      <c r="B30" s="186" t="s">
        <v>2122</v>
      </c>
      <c r="C30" s="4341"/>
      <c r="D30" s="4342"/>
      <c r="E30" s="1931"/>
      <c r="F30" s="1931"/>
      <c r="G30" s="1931"/>
      <c r="H30" s="1931"/>
      <c r="I30" s="1931"/>
      <c r="J30" s="1785"/>
      <c r="K30" s="1892"/>
      <c r="L30" s="1889"/>
      <c r="M30" s="1889"/>
      <c r="N30" s="1785"/>
      <c r="O30" s="1296"/>
      <c r="P30" s="1785"/>
      <c r="Q30" s="1785"/>
      <c r="R30" s="1785"/>
      <c r="S30" s="1785"/>
      <c r="T30" s="1785"/>
      <c r="U30" s="1785"/>
      <c r="V30" s="1785"/>
    </row>
    <row r="31" spans="1:28">
      <c r="A31" s="4343" t="s">
        <v>2123</v>
      </c>
      <c r="B31" s="1772" t="s">
        <v>4102</v>
      </c>
      <c r="C31" s="8" t="str">
        <f>IF(B31="现房","成新及维护状况正常否",IF(B31="在建","工程状态是否正常",IF(B31="土地","是否闲置","-")))</f>
        <v>成新及维护状况正常否</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8" t="s">
        <v>2132</v>
      </c>
      <c r="T34" s="206" t="str">
        <f>NUMBERSTRING(7-K34,1)&amp;"通"</f>
        <v>七通</v>
      </c>
      <c r="U34" s="1785"/>
      <c r="V34" s="1785"/>
    </row>
    <row r="35" spans="1:30">
      <c r="A35" s="1776"/>
      <c r="B35" s="4338" t="s">
        <v>2133</v>
      </c>
      <c r="C35" s="4338"/>
      <c r="D35" s="4338"/>
      <c r="E35" s="433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8"/>
      <c r="T35" s="55" t="str">
        <f>IF(T34="一通",L35,IF(T34="二通",M35,IF(T34="三通",N35,IF(T34="四通",O35,IF(T34="五通",P35,IF(T34="六通",Q35,R35))))))</f>
        <v>、、、、、、</v>
      </c>
      <c r="U35" s="1785"/>
      <c r="V35" s="1785"/>
    </row>
    <row r="36" spans="1:30" ht="13">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ht="13">
      <c r="A37" s="1905" t="s">
        <v>2134</v>
      </c>
      <c r="B37" s="1777"/>
      <c r="C37" s="1777" t="s">
        <v>182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t="s">
        <v>233</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D13" sqref="D13"/>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v>1066.21</v>
      </c>
      <c r="B3" s="905">
        <f>IF(C3="否",G5-AT5,G5)</f>
        <v>12000.230000000001</v>
      </c>
      <c r="C3" s="1113" t="s">
        <v>4100</v>
      </c>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12000.230000000001</v>
      </c>
      <c r="H5" s="6">
        <f t="shared" ref="H5:AT5" si="0">SUM(H13:H656)</f>
        <v>12000.230000000001</v>
      </c>
      <c r="I5" s="6">
        <f t="shared" si="0"/>
        <v>9775.8700000000008</v>
      </c>
      <c r="J5" s="6">
        <f t="shared" si="0"/>
        <v>0</v>
      </c>
      <c r="K5" s="6">
        <f t="shared" si="0"/>
        <v>1306.8499999999999</v>
      </c>
      <c r="L5" s="6">
        <f t="shared" si="0"/>
        <v>0</v>
      </c>
      <c r="M5" s="6">
        <f t="shared" si="0"/>
        <v>917.51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12000.230000000001</v>
      </c>
      <c r="BA5" s="455">
        <f t="shared" si="1"/>
        <v>12000.230000000001</v>
      </c>
      <c r="BB5" s="455">
        <f t="shared" si="1"/>
        <v>9775.8700000000008</v>
      </c>
      <c r="BC5" s="455">
        <f t="shared" si="1"/>
        <v>1306.8499999999999</v>
      </c>
      <c r="BD5" s="455">
        <f t="shared" si="1"/>
        <v>917.51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9">
        <f t="shared" si="1"/>
        <v>0</v>
      </c>
    </row>
    <row r="6" spans="1:72" s="1112" customFormat="1" ht="13">
      <c r="A6" s="8" t="s">
        <v>1055</v>
      </c>
      <c r="B6" s="902"/>
      <c r="C6" s="902"/>
      <c r="D6" s="903"/>
      <c r="E6" s="6">
        <f>H6+AC6+AT6</f>
        <v>1066.21</v>
      </c>
      <c r="F6" s="6" t="s">
        <v>0</v>
      </c>
      <c r="G6" s="6" t="s">
        <v>1</v>
      </c>
      <c r="H6" s="11">
        <f>SUMIF(I$12:AB$12,"总值",I6:AB6)</f>
        <v>1066.21</v>
      </c>
      <c r="I6" s="6">
        <f t="shared" ref="I6:AB6" si="2">ROUND($A$3*I5/$B$3,2)</f>
        <v>868.58</v>
      </c>
      <c r="J6" s="6">
        <f t="shared" si="2"/>
        <v>0</v>
      </c>
      <c r="K6" s="6">
        <f t="shared" si="2"/>
        <v>116.11</v>
      </c>
      <c r="L6" s="6">
        <f t="shared" si="2"/>
        <v>0</v>
      </c>
      <c r="M6" s="6">
        <f t="shared" si="2"/>
        <v>81.52</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0">
        <f>IF(AY3&gt;0,AY3,ROUND($A$3*AZ5/$B$3,2))</f>
        <v>1066.21</v>
      </c>
      <c r="AZ6" s="6" t="s">
        <v>2</v>
      </c>
      <c r="BA6" s="6">
        <f>ROUND($AY$6*BA5/$AZ$5,2)</f>
        <v>1066.21</v>
      </c>
      <c r="BB6" s="6">
        <f>ROUND($AY$6*BB5/$AZ$5,2)</f>
        <v>868.58</v>
      </c>
      <c r="BC6" s="6">
        <f t="shared" ref="BC6:BH6" si="4">ROUND($AY$6*BC5/$AZ$5,2)</f>
        <v>116.11</v>
      </c>
      <c r="BD6" s="6">
        <f t="shared" si="4"/>
        <v>81.52</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1">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4103</v>
      </c>
      <c r="J9" s="528"/>
      <c r="K9" s="1131" t="s">
        <v>4104</v>
      </c>
      <c r="L9" s="528"/>
      <c r="M9" s="1131" t="s">
        <v>4104</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19</v>
      </c>
      <c r="J10" s="528"/>
      <c r="K10" s="1137" t="s">
        <v>19</v>
      </c>
      <c r="L10" s="528"/>
      <c r="M10" s="1137" t="s">
        <v>3220</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c r="D13" s="1153" t="s">
        <v>4099</v>
      </c>
      <c r="E13" s="6">
        <f>IF($C$3="是",ROUND($A$3*G13/$B$3,2),ROUND($A$3*(G13-AT13)/$B$3,2))</f>
        <v>1066.21</v>
      </c>
      <c r="F13" s="579"/>
      <c r="G13" s="18">
        <f>H13+AC13+AT13</f>
        <v>12000.230000000001</v>
      </c>
      <c r="H13" s="11">
        <f>SUMIF(I$12:AB$12,"总值",I13:AB13)</f>
        <v>12000.230000000001</v>
      </c>
      <c r="I13" s="1105">
        <f>信息!C15</f>
        <v>9775.8700000000008</v>
      </c>
      <c r="J13" s="1105"/>
      <c r="K13" s="1105">
        <f>信息!F8+信息!F10</f>
        <v>1306.8499999999999</v>
      </c>
      <c r="L13" s="1105"/>
      <c r="M13" s="1105">
        <f>信息!F9</f>
        <v>917.51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1066.21</v>
      </c>
      <c r="AZ13" s="9">
        <f>BA13+BL13</f>
        <v>12000.230000000001</v>
      </c>
      <c r="BA13" s="9">
        <f>SUM(BB13:BK13)</f>
        <v>12000.230000000001</v>
      </c>
      <c r="BB13" s="9">
        <f>IF($D13="是",I13-J13,0)</f>
        <v>9775.8700000000008</v>
      </c>
      <c r="BC13" s="9">
        <f>IF($D13="是",K13-L13,0)</f>
        <v>1306.8499999999999</v>
      </c>
      <c r="BD13" s="9">
        <f>IF($D13="是",M13-N13,0)</f>
        <v>917.51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76" t="s">
        <v>1114</v>
      </c>
      <c r="B2" s="4376"/>
      <c r="C2" s="4376"/>
      <c r="D2" s="520" t="s">
        <v>1090</v>
      </c>
      <c r="E2" s="1162" t="s">
        <v>1091</v>
      </c>
      <c r="F2" s="1928"/>
      <c r="G2" s="1922"/>
      <c r="H2" s="1923"/>
      <c r="I2" s="1694" t="s">
        <v>1115</v>
      </c>
      <c r="J2" s="1928"/>
      <c r="K2" s="1928"/>
      <c r="L2" s="1928"/>
      <c r="M2" s="1928"/>
      <c r="N2" s="1929"/>
      <c r="O2" s="1928"/>
      <c r="P2" s="1928"/>
    </row>
    <row r="3" spans="1:16" ht="14.5" thickBot="1">
      <c r="A3" s="4377" t="s">
        <v>1088</v>
      </c>
      <c r="B3" s="4377"/>
      <c r="C3" s="4377"/>
      <c r="D3" s="3800">
        <f>'数据-基础表'!AY6</f>
        <v>1066.21</v>
      </c>
      <c r="E3" s="3800">
        <f>'数据-基础表'!AZ5</f>
        <v>12000.230000000001</v>
      </c>
      <c r="F3" s="1928"/>
      <c r="G3" s="24"/>
      <c r="H3" s="25" t="s">
        <v>1089</v>
      </c>
      <c r="I3" s="2593">
        <f>ROUND('数据-基础表'!B3/'数据-基础表'!A3,2)</f>
        <v>11.26</v>
      </c>
      <c r="J3" s="1928"/>
      <c r="K3" s="1928"/>
      <c r="L3" s="1928"/>
      <c r="M3" s="1928"/>
      <c r="N3" s="1929"/>
      <c r="O3" s="1928"/>
      <c r="P3" s="1928"/>
    </row>
    <row r="4" spans="1:16">
      <c r="A4" s="4378"/>
      <c r="B4" s="4379"/>
      <c r="C4" s="4380"/>
      <c r="D4" s="1164" t="s">
        <v>1090</v>
      </c>
      <c r="E4" s="1165" t="s">
        <v>1091</v>
      </c>
      <c r="F4" s="1928"/>
      <c r="G4" s="1924" t="s">
        <v>1116</v>
      </c>
      <c r="H4" s="25" t="s">
        <v>1096</v>
      </c>
      <c r="I4" s="2593">
        <f>ROUND(SUMIF('数据-基础表'!I9:AS9,"地上",'数据-基础表'!I5:AS5)/'数据-基础表'!A3,2)</f>
        <v>9.17</v>
      </c>
      <c r="J4" s="1928"/>
      <c r="K4" s="1928"/>
      <c r="L4" s="1928"/>
      <c r="M4" s="1928"/>
      <c r="N4" s="1929"/>
      <c r="O4" s="1928"/>
      <c r="P4" s="1928"/>
    </row>
    <row r="5" spans="1:16">
      <c r="A5" s="24" t="s">
        <v>1092</v>
      </c>
      <c r="B5" s="4381" t="s">
        <v>1093</v>
      </c>
      <c r="C5" s="4381"/>
      <c r="D5" s="3782">
        <f>ROUND($D$3*E5/$E$3,2)</f>
        <v>0</v>
      </c>
      <c r="E5" s="3672">
        <f>SUMIF('数据-基础表'!$11:$11,"住宅",'数据-基础表'!$5:$5)</f>
        <v>0</v>
      </c>
      <c r="F5" s="1928"/>
      <c r="G5" s="24"/>
      <c r="H5" s="25" t="s">
        <v>1089</v>
      </c>
      <c r="I5" s="2593">
        <f>ROUND(E31/D31,2)</f>
        <v>11.26</v>
      </c>
      <c r="J5" s="1928"/>
      <c r="K5" s="1928"/>
      <c r="L5" s="1928"/>
      <c r="M5" s="1928"/>
      <c r="N5" s="1928"/>
      <c r="O5" s="1928"/>
      <c r="P5" s="1928"/>
    </row>
    <row r="6" spans="1:16" ht="14.5" thickBot="1">
      <c r="A6" s="1167"/>
      <c r="B6" s="4381" t="s">
        <v>1094</v>
      </c>
      <c r="C6" s="4381"/>
      <c r="D6" s="3782">
        <f>ROUND($D$3*E6/$E$3,2)</f>
        <v>1066.21</v>
      </c>
      <c r="E6" s="3672">
        <f>E3-E5</f>
        <v>12000.230000000001</v>
      </c>
      <c r="F6" s="1928"/>
      <c r="G6" s="1169" t="s">
        <v>1095</v>
      </c>
      <c r="H6" s="26" t="s">
        <v>1096</v>
      </c>
      <c r="I6" s="2594">
        <f>ROUND(F31/D31,2)</f>
        <v>9.17</v>
      </c>
      <c r="J6" s="1928"/>
      <c r="K6" s="1928"/>
      <c r="L6" s="1928"/>
      <c r="M6" s="1928"/>
      <c r="N6" s="1928"/>
      <c r="O6" s="1928"/>
      <c r="P6" s="1928"/>
    </row>
    <row r="7" spans="1:16" ht="14.5" thickBot="1">
      <c r="A7" s="4373"/>
      <c r="B7" s="4374"/>
      <c r="C7" s="4375"/>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2">
        <f t="shared" ref="D8:D15" si="0">ROUND($D$3*E8/$E$3,2)</f>
        <v>868.58</v>
      </c>
      <c r="E8" s="3672">
        <f>SUMIF('数据-基础表'!BB10:BK10,"地上",'数据-基础表'!BB5:BK5)</f>
        <v>9775.8700000000008</v>
      </c>
      <c r="F8" s="1928"/>
      <c r="G8" s="1928"/>
      <c r="H8" s="1928"/>
      <c r="I8" s="1928"/>
      <c r="J8" s="1928"/>
      <c r="K8" s="1928"/>
      <c r="L8" s="1928"/>
      <c r="M8" s="1928"/>
      <c r="N8" s="1928"/>
      <c r="O8" s="1928"/>
      <c r="P8" s="1928"/>
    </row>
    <row r="9" spans="1:16">
      <c r="A9" s="1169"/>
      <c r="B9" s="1170"/>
      <c r="C9" s="25" t="s">
        <v>1102</v>
      </c>
      <c r="D9" s="3782">
        <f t="shared" si="0"/>
        <v>0</v>
      </c>
      <c r="E9" s="3801"/>
      <c r="F9" s="1928"/>
      <c r="G9" s="1928"/>
      <c r="H9" s="1928"/>
      <c r="I9" s="1928"/>
      <c r="J9" s="1928"/>
      <c r="K9" s="1928"/>
      <c r="L9" s="1928"/>
      <c r="M9" s="1928"/>
      <c r="N9" s="1928"/>
      <c r="O9" s="1928"/>
      <c r="P9" s="1928"/>
    </row>
    <row r="10" spans="1:16">
      <c r="A10" s="1169"/>
      <c r="B10" s="1170"/>
      <c r="C10" s="25" t="s">
        <v>1111</v>
      </c>
      <c r="D10" s="3782">
        <f t="shared" si="0"/>
        <v>0</v>
      </c>
      <c r="E10" s="3672">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2">
        <f t="shared" si="0"/>
        <v>116.11</v>
      </c>
      <c r="E11" s="3672">
        <f>SUMPRODUCT(('数据-基础表'!BB10:BK10="地下")*('数据-基础表'!BB11:BK11="办公")*('数据-基础表'!BB5:BK5))+'数据-基础表'!BP5</f>
        <v>1306.8499999999999</v>
      </c>
      <c r="F11" s="1928"/>
      <c r="G11" s="1928"/>
      <c r="H11" s="1928"/>
      <c r="I11" s="1928"/>
      <c r="J11" s="1928"/>
      <c r="K11" s="1928"/>
      <c r="L11" s="1928"/>
      <c r="M11" s="1928"/>
      <c r="N11" s="1928"/>
      <c r="O11" s="1928"/>
      <c r="P11" s="1928"/>
    </row>
    <row r="12" spans="1:16">
      <c r="A12" s="1169"/>
      <c r="B12" s="1170"/>
      <c r="C12" s="25" t="s">
        <v>1104</v>
      </c>
      <c r="D12" s="3782">
        <f t="shared" si="0"/>
        <v>0</v>
      </c>
      <c r="E12" s="3672">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2">
        <f t="shared" si="0"/>
        <v>81.52</v>
      </c>
      <c r="E13" s="3672">
        <f>SUMPRODUCT(('数据-基础表'!BB10:BK10="地下")*('数据-基础表'!BB11:BK11="车库")*('数据-基础表'!BB5:BK5))</f>
        <v>917.51</v>
      </c>
      <c r="F13" s="1928"/>
      <c r="G13" s="1928"/>
      <c r="H13" s="1928"/>
      <c r="I13" s="1928"/>
      <c r="J13" s="1928"/>
      <c r="K13" s="1928"/>
      <c r="L13" s="1928"/>
      <c r="M13" s="1928"/>
      <c r="N13" s="1928"/>
      <c r="O13" s="1928"/>
      <c r="P13" s="1928"/>
    </row>
    <row r="14" spans="1:16">
      <c r="A14" s="1169"/>
      <c r="B14" s="1170"/>
      <c r="C14" s="25" t="s">
        <v>1117</v>
      </c>
      <c r="D14" s="3782">
        <f t="shared" si="0"/>
        <v>0</v>
      </c>
      <c r="E14" s="3672">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2">
        <f t="shared" si="0"/>
        <v>0</v>
      </c>
      <c r="E15" s="3672">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26">
        <f>SUM(D8:D15)</f>
        <v>1066.21</v>
      </c>
      <c r="E16" s="3792">
        <f>SUM(E8:E15)</f>
        <v>12000.230000000001</v>
      </c>
      <c r="F16" s="1928"/>
      <c r="G16" s="1928"/>
      <c r="H16" s="1171" t="s">
        <v>1118</v>
      </c>
      <c r="I16" s="1172"/>
      <c r="J16" s="763"/>
      <c r="K16" s="4370" t="s">
        <v>1118</v>
      </c>
      <c r="L16" s="4371"/>
      <c r="M16" s="4371"/>
      <c r="N16" s="4371"/>
      <c r="O16" s="4371"/>
      <c r="P16" s="4372"/>
    </row>
    <row r="17" spans="1:19">
      <c r="A17" s="1173" t="s">
        <v>1119</v>
      </c>
      <c r="B17" s="1174" t="s">
        <v>1120</v>
      </c>
      <c r="C17" s="1175" t="s">
        <v>1121</v>
      </c>
      <c r="D17" s="1176" t="s">
        <v>1109</v>
      </c>
      <c r="E17" s="1177" t="s">
        <v>1110</v>
      </c>
      <c r="F17" s="1178"/>
      <c r="G17" s="1179"/>
      <c r="H17" s="1180" t="s">
        <v>1122</v>
      </c>
      <c r="I17" s="1181" t="s">
        <v>1107</v>
      </c>
      <c r="J17" s="763"/>
      <c r="K17" s="4367" t="s">
        <v>1123</v>
      </c>
      <c r="L17" s="4368"/>
      <c r="M17" s="4369"/>
      <c r="N17" s="4367" t="s">
        <v>1124</v>
      </c>
      <c r="O17" s="4368"/>
      <c r="P17" s="4369"/>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4105</v>
      </c>
      <c r="D19" s="3782">
        <f>ROUND($D$3*E19/$E$3,2)</f>
        <v>1066.21</v>
      </c>
      <c r="E19" s="3782">
        <f t="shared" ref="E19:E26" si="1">SUM(F19:G19)</f>
        <v>12000.23</v>
      </c>
      <c r="F19" s="3783">
        <f>'数据-基础表'!I13</f>
        <v>9775.8700000000008</v>
      </c>
      <c r="G19" s="3644">
        <f>'数据-基础表'!K13+'数据-基础表'!M13</f>
        <v>2224.3599999999997</v>
      </c>
      <c r="H19" s="3784">
        <f>ROUND($D$3*I19/$E$3,2)</f>
        <v>0</v>
      </c>
      <c r="I19" s="3672">
        <f t="shared" ref="I19:I26" si="2">IF($I$17="自定义",P19,M19)</f>
        <v>0</v>
      </c>
      <c r="J19" s="763"/>
      <c r="K19" s="3784">
        <f t="shared" ref="K19:K26" si="3">ROUND(E$28*E19/E$27,2)</f>
        <v>0</v>
      </c>
      <c r="L19" s="3782">
        <f t="shared" ref="L19:L26" si="4">ROUND(IF(COUNTIF(C19,"*住宅*")&gt;0,E$29*E19/E$32,0),2)</f>
        <v>0</v>
      </c>
      <c r="M19" s="3672">
        <f>K19+L19</f>
        <v>0</v>
      </c>
      <c r="N19" s="3796"/>
      <c r="O19" s="3797"/>
      <c r="P19" s="3672">
        <f>N19+O19</f>
        <v>0</v>
      </c>
      <c r="R19" s="3782">
        <f t="shared" ref="R19:S26" si="5">D19+H19</f>
        <v>1066.21</v>
      </c>
      <c r="S19" s="3782">
        <f t="shared" si="5"/>
        <v>12000.23</v>
      </c>
    </row>
    <row r="20" spans="1:19">
      <c r="A20" s="1189"/>
      <c r="B20" s="26" t="s">
        <v>1136</v>
      </c>
      <c r="C20" s="2465"/>
      <c r="D20" s="3782">
        <f t="shared" ref="D20:D26" si="6">ROUND($D$3*E20/$E$3,2)</f>
        <v>0</v>
      </c>
      <c r="E20" s="3782">
        <f t="shared" si="1"/>
        <v>0</v>
      </c>
      <c r="F20" s="3783"/>
      <c r="G20" s="3644"/>
      <c r="H20" s="3784">
        <f t="shared" ref="H20:H26" si="7">ROUND($D$3*I20/$E$3,2)</f>
        <v>0</v>
      </c>
      <c r="I20" s="3672">
        <f t="shared" si="2"/>
        <v>0</v>
      </c>
      <c r="J20" s="763"/>
      <c r="K20" s="3784">
        <f t="shared" si="3"/>
        <v>0</v>
      </c>
      <c r="L20" s="3782">
        <f t="shared" si="4"/>
        <v>0</v>
      </c>
      <c r="M20" s="3672">
        <f t="shared" ref="M20:M26" si="8">K20+L20</f>
        <v>0</v>
      </c>
      <c r="N20" s="3796"/>
      <c r="O20" s="3797"/>
      <c r="P20" s="3672">
        <f t="shared" ref="P20:P26" si="9">N20+O20</f>
        <v>0</v>
      </c>
      <c r="R20" s="3782">
        <f t="shared" si="5"/>
        <v>0</v>
      </c>
      <c r="S20" s="3782">
        <f t="shared" si="5"/>
        <v>0</v>
      </c>
    </row>
    <row r="21" spans="1:19">
      <c r="A21" s="1189"/>
      <c r="B21" s="26" t="s">
        <v>1136</v>
      </c>
      <c r="C21" s="2465"/>
      <c r="D21" s="3782">
        <f t="shared" si="6"/>
        <v>0</v>
      </c>
      <c r="E21" s="3782">
        <f t="shared" si="1"/>
        <v>0</v>
      </c>
      <c r="F21" s="3783"/>
      <c r="G21" s="3644"/>
      <c r="H21" s="3784">
        <f t="shared" si="7"/>
        <v>0</v>
      </c>
      <c r="I21" s="3672">
        <f t="shared" si="2"/>
        <v>0</v>
      </c>
      <c r="J21" s="763"/>
      <c r="K21" s="3784">
        <f t="shared" si="3"/>
        <v>0</v>
      </c>
      <c r="L21" s="3782">
        <f t="shared" si="4"/>
        <v>0</v>
      </c>
      <c r="M21" s="3672">
        <f t="shared" si="8"/>
        <v>0</v>
      </c>
      <c r="N21" s="3796"/>
      <c r="O21" s="3797"/>
      <c r="P21" s="3672">
        <f t="shared" si="9"/>
        <v>0</v>
      </c>
      <c r="R21" s="3782">
        <f t="shared" si="5"/>
        <v>0</v>
      </c>
      <c r="S21" s="3782">
        <f t="shared" si="5"/>
        <v>0</v>
      </c>
    </row>
    <row r="22" spans="1:19">
      <c r="A22" s="1189"/>
      <c r="B22" s="26" t="s">
        <v>1136</v>
      </c>
      <c r="C22" s="2466"/>
      <c r="D22" s="3782">
        <f t="shared" si="6"/>
        <v>0</v>
      </c>
      <c r="E22" s="3782">
        <f t="shared" si="1"/>
        <v>0</v>
      </c>
      <c r="F22" s="3785"/>
      <c r="G22" s="3786"/>
      <c r="H22" s="3784">
        <f t="shared" si="7"/>
        <v>0</v>
      </c>
      <c r="I22" s="3672">
        <f t="shared" si="2"/>
        <v>0</v>
      </c>
      <c r="J22" s="763"/>
      <c r="K22" s="3784">
        <f t="shared" si="3"/>
        <v>0</v>
      </c>
      <c r="L22" s="3782">
        <f t="shared" si="4"/>
        <v>0</v>
      </c>
      <c r="M22" s="3672">
        <f t="shared" si="8"/>
        <v>0</v>
      </c>
      <c r="N22" s="3796"/>
      <c r="O22" s="3797"/>
      <c r="P22" s="3672">
        <f t="shared" si="9"/>
        <v>0</v>
      </c>
      <c r="R22" s="3782">
        <f t="shared" si="5"/>
        <v>0</v>
      </c>
      <c r="S22" s="3782">
        <f t="shared" si="5"/>
        <v>0</v>
      </c>
    </row>
    <row r="23" spans="1:19">
      <c r="A23" s="1189"/>
      <c r="B23" s="26" t="s">
        <v>1136</v>
      </c>
      <c r="C23" s="2466"/>
      <c r="D23" s="3782">
        <f>ROUND($D$3*E23/$E$3,2)</f>
        <v>0</v>
      </c>
      <c r="E23" s="3782">
        <f>SUM(F23:G23)</f>
        <v>0</v>
      </c>
      <c r="F23" s="3785"/>
      <c r="G23" s="3786"/>
      <c r="H23" s="3784">
        <f>ROUND($D$3*I23/$E$3,2)</f>
        <v>0</v>
      </c>
      <c r="I23" s="3672">
        <f t="shared" si="2"/>
        <v>0</v>
      </c>
      <c r="J23" s="763"/>
      <c r="K23" s="3784">
        <f t="shared" si="3"/>
        <v>0</v>
      </c>
      <c r="L23" s="3782">
        <f t="shared" si="4"/>
        <v>0</v>
      </c>
      <c r="M23" s="3672">
        <f t="shared" si="8"/>
        <v>0</v>
      </c>
      <c r="N23" s="3796"/>
      <c r="O23" s="3797"/>
      <c r="P23" s="3672">
        <f t="shared" si="9"/>
        <v>0</v>
      </c>
      <c r="R23" s="3782">
        <f t="shared" si="5"/>
        <v>0</v>
      </c>
      <c r="S23" s="3782">
        <f t="shared" si="5"/>
        <v>0</v>
      </c>
    </row>
    <row r="24" spans="1:19">
      <c r="A24" s="1189"/>
      <c r="B24" s="26" t="s">
        <v>1136</v>
      </c>
      <c r="C24" s="2466"/>
      <c r="D24" s="3782">
        <f>ROUND($D$3*E24/$E$3,2)</f>
        <v>0</v>
      </c>
      <c r="E24" s="3782">
        <f>SUM(F24:G24)</f>
        <v>0</v>
      </c>
      <c r="F24" s="3785"/>
      <c r="G24" s="3786"/>
      <c r="H24" s="3784">
        <f>ROUND($D$3*I24/$E$3,2)</f>
        <v>0</v>
      </c>
      <c r="I24" s="3672">
        <f t="shared" si="2"/>
        <v>0</v>
      </c>
      <c r="J24" s="763"/>
      <c r="K24" s="3784">
        <f t="shared" si="3"/>
        <v>0</v>
      </c>
      <c r="L24" s="3782">
        <f t="shared" si="4"/>
        <v>0</v>
      </c>
      <c r="M24" s="3672">
        <f t="shared" si="8"/>
        <v>0</v>
      </c>
      <c r="N24" s="3796"/>
      <c r="O24" s="3797"/>
      <c r="P24" s="3672">
        <f t="shared" si="9"/>
        <v>0</v>
      </c>
      <c r="R24" s="3782">
        <f t="shared" si="5"/>
        <v>0</v>
      </c>
      <c r="S24" s="3782">
        <f t="shared" si="5"/>
        <v>0</v>
      </c>
    </row>
    <row r="25" spans="1:19">
      <c r="A25" s="1189"/>
      <c r="B25" s="26" t="s">
        <v>1136</v>
      </c>
      <c r="C25" s="2466"/>
      <c r="D25" s="3782">
        <f t="shared" si="6"/>
        <v>0</v>
      </c>
      <c r="E25" s="3782">
        <f t="shared" si="1"/>
        <v>0</v>
      </c>
      <c r="F25" s="3785"/>
      <c r="G25" s="3786"/>
      <c r="H25" s="3787">
        <f t="shared" si="7"/>
        <v>0</v>
      </c>
      <c r="I25" s="3672">
        <f t="shared" si="2"/>
        <v>0</v>
      </c>
      <c r="J25" s="763"/>
      <c r="K25" s="3784">
        <f t="shared" si="3"/>
        <v>0</v>
      </c>
      <c r="L25" s="3782">
        <f t="shared" si="4"/>
        <v>0</v>
      </c>
      <c r="M25" s="3672">
        <f t="shared" si="8"/>
        <v>0</v>
      </c>
      <c r="N25" s="3796"/>
      <c r="O25" s="3797"/>
      <c r="P25" s="3672">
        <f t="shared" si="9"/>
        <v>0</v>
      </c>
      <c r="R25" s="3782">
        <f t="shared" si="5"/>
        <v>0</v>
      </c>
      <c r="S25" s="3782">
        <f t="shared" si="5"/>
        <v>0</v>
      </c>
    </row>
    <row r="26" spans="1:19">
      <c r="A26" s="1189"/>
      <c r="B26" s="26" t="s">
        <v>1136</v>
      </c>
      <c r="C26" s="29"/>
      <c r="D26" s="3782">
        <f t="shared" si="6"/>
        <v>0</v>
      </c>
      <c r="E26" s="3782">
        <f t="shared" si="1"/>
        <v>0</v>
      </c>
      <c r="F26" s="3785"/>
      <c r="G26" s="3786"/>
      <c r="H26" s="3787">
        <f t="shared" si="7"/>
        <v>0</v>
      </c>
      <c r="I26" s="3672">
        <f t="shared" si="2"/>
        <v>0</v>
      </c>
      <c r="J26" s="763"/>
      <c r="K26" s="3787">
        <f t="shared" si="3"/>
        <v>0</v>
      </c>
      <c r="L26" s="3626">
        <f t="shared" si="4"/>
        <v>0</v>
      </c>
      <c r="M26" s="3792">
        <f t="shared" si="8"/>
        <v>0</v>
      </c>
      <c r="N26" s="3798"/>
      <c r="O26" s="3799"/>
      <c r="P26" s="3792">
        <f t="shared" si="9"/>
        <v>0</v>
      </c>
      <c r="R26" s="3782">
        <f t="shared" si="5"/>
        <v>0</v>
      </c>
      <c r="S26" s="3782">
        <f t="shared" si="5"/>
        <v>0</v>
      </c>
    </row>
    <row r="27" spans="1:19" ht="14.5" thickBot="1">
      <c r="A27" s="1189"/>
      <c r="B27" s="25"/>
      <c r="C27" s="1190" t="s">
        <v>1137</v>
      </c>
      <c r="D27" s="172">
        <f>SUM(D19:D26)</f>
        <v>1066.21</v>
      </c>
      <c r="E27" s="172">
        <f>IF(SUM(E19:E26)='数据-基础表'!BA5,SUM(E19:E26),IF(F27="地上面积有误","面积有误","地下面积有误"))</f>
        <v>12000.23</v>
      </c>
      <c r="F27" s="172">
        <f>IF(SUM(F19:F26)=E8,SUM(F19:F26),"地上面积有误")</f>
        <v>9775.8700000000008</v>
      </c>
      <c r="G27" s="3670">
        <f>SUM(G19:G26)</f>
        <v>2224.3599999999997</v>
      </c>
      <c r="H27" s="3788">
        <f>SUM(H19:H26)</f>
        <v>0</v>
      </c>
      <c r="I27" s="3789">
        <f>SUM(I19:I26)</f>
        <v>0</v>
      </c>
      <c r="J27" s="763"/>
      <c r="K27" s="3788">
        <f>SUM(K19:K26)</f>
        <v>0</v>
      </c>
      <c r="L27" s="3794">
        <f>SUM(L19:L26)</f>
        <v>0</v>
      </c>
      <c r="M27" s="3795">
        <f>SUM(M19:M26)</f>
        <v>0</v>
      </c>
      <c r="N27" s="3788">
        <f t="shared" ref="N27:O27" si="10">SUM(N19:N26)</f>
        <v>0</v>
      </c>
      <c r="O27" s="3794">
        <f t="shared" si="10"/>
        <v>0</v>
      </c>
      <c r="P27" s="3632">
        <f>SUM(P19:P26)</f>
        <v>0</v>
      </c>
      <c r="R27" s="679">
        <f>IF(SUM(R19:R26)=$D$3,SUM(R19:R26),SUM(R19:R26)&amp;"误差"&amp;ROUND(SUM(R19:R26)-$D$3,2))</f>
        <v>1066.21</v>
      </c>
      <c r="S27" s="3782">
        <f>IF(SUM(S19:S26)=$E$3,SUM(S19:S26),SUM(S19:S26)&amp;"误差"&amp;ROUND(SUM(S19:S26)-E3,2))</f>
        <v>12000.23</v>
      </c>
    </row>
    <row r="28" spans="1:19">
      <c r="A28" s="1189"/>
      <c r="B28" s="26" t="s">
        <v>1138</v>
      </c>
      <c r="C28" s="30" t="s">
        <v>1139</v>
      </c>
      <c r="D28" s="3782">
        <f>ROUND($D$3*E28/$E$3,2)</f>
        <v>0</v>
      </c>
      <c r="E28" s="3782">
        <f>SUM(F28:G28)</f>
        <v>0</v>
      </c>
      <c r="F28" s="3542">
        <f>'数据-基础表'!BQ5+'数据-基础表'!BS5</f>
        <v>0</v>
      </c>
      <c r="G28" s="3790">
        <f>'数据-基础表'!BR5+'数据-基础表'!BT5</f>
        <v>0</v>
      </c>
      <c r="H28" s="1928"/>
      <c r="I28" s="1928"/>
      <c r="J28" s="1928"/>
      <c r="K28" s="1928"/>
      <c r="L28" s="1928"/>
      <c r="M28" s="1928"/>
      <c r="N28" s="1928"/>
      <c r="O28" s="1928"/>
      <c r="P28" s="1928"/>
    </row>
    <row r="29" spans="1:19">
      <c r="A29" s="1189"/>
      <c r="B29" s="26" t="s">
        <v>1138</v>
      </c>
      <c r="C29" s="1191" t="s">
        <v>1140</v>
      </c>
      <c r="D29" s="3782">
        <f>ROUND($D$3*E29/$E$3,2)</f>
        <v>0</v>
      </c>
      <c r="E29" s="3782">
        <f>SUM(F29:G29)</f>
        <v>0</v>
      </c>
      <c r="F29" s="3791">
        <f>'数据-基础表'!BM5+'数据-基础表'!BO5</f>
        <v>0</v>
      </c>
      <c r="G29" s="3792">
        <f>'数据-基础表'!BN5+'数据-基础表'!BP5</f>
        <v>0</v>
      </c>
      <c r="H29" s="1928"/>
      <c r="I29" s="1928"/>
      <c r="J29" s="1928"/>
      <c r="K29" s="1928"/>
      <c r="L29" s="1928"/>
      <c r="M29" s="1928"/>
      <c r="N29" s="1928"/>
      <c r="O29" s="1928"/>
      <c r="P29" s="1928"/>
    </row>
    <row r="30" spans="1:19">
      <c r="A30" s="1189"/>
      <c r="B30" s="26"/>
      <c r="C30" s="1192" t="s">
        <v>1137</v>
      </c>
      <c r="D30" s="172">
        <f>SUM(D28:D29)</f>
        <v>0</v>
      </c>
      <c r="E30" s="172">
        <f>SUM(E28:E29)</f>
        <v>0</v>
      </c>
      <c r="F30" s="172">
        <f>SUM(F28:F29)</f>
        <v>0</v>
      </c>
      <c r="G30" s="3670">
        <f>SUM(G28:G29)</f>
        <v>0</v>
      </c>
      <c r="H30" s="1928"/>
      <c r="I30" s="1928"/>
      <c r="J30" s="1928"/>
      <c r="K30" s="1928"/>
      <c r="L30" s="1928"/>
      <c r="M30" s="1928"/>
      <c r="N30" s="1928"/>
      <c r="O30" s="1928"/>
      <c r="P30" s="1928"/>
    </row>
    <row r="31" spans="1:19" ht="14.5" thickBot="1">
      <c r="A31" s="1193"/>
      <c r="B31" s="45"/>
      <c r="C31" s="534" t="s">
        <v>1141</v>
      </c>
      <c r="D31" s="3793">
        <f>D27+D30</f>
        <v>1066.21</v>
      </c>
      <c r="E31" s="3793">
        <f>E27+E30</f>
        <v>12000.23</v>
      </c>
      <c r="F31" s="3794">
        <f>F27+F30</f>
        <v>9775.8700000000008</v>
      </c>
      <c r="G31" s="3795">
        <f>G27+G30</f>
        <v>2224.3599999999997</v>
      </c>
      <c r="H31" s="1928"/>
      <c r="I31" s="1928"/>
      <c r="J31" s="1928"/>
      <c r="K31" s="1928"/>
      <c r="L31" s="1928"/>
      <c r="M31" s="1928"/>
      <c r="N31" s="1928"/>
      <c r="O31" s="1928"/>
      <c r="P31" s="1928"/>
    </row>
    <row r="32" spans="1:19">
      <c r="A32" s="1166"/>
      <c r="B32" s="1166" t="s">
        <v>1142</v>
      </c>
      <c r="C32" s="1166"/>
      <c r="D32" s="3625"/>
      <c r="E32" s="3625">
        <f>SUMIF(C19:C26,"*住宅*",E19:E26)</f>
        <v>0</v>
      </c>
      <c r="F32" s="3625"/>
      <c r="G32" s="3625"/>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24" sqref="Z24"/>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7"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 thickBot="1">
      <c r="A2" s="1198" t="s">
        <v>1144</v>
      </c>
      <c r="B2" s="689">
        <f>项目基本情况!D3</f>
        <v>46090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4106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办公</v>
      </c>
      <c r="B6" s="1222" t="str">
        <f>IF(A6=0,"","经营性")</f>
        <v>经营性</v>
      </c>
      <c r="C6" s="1223" t="s">
        <v>19</v>
      </c>
      <c r="D6" s="3293">
        <f>SUMIF(项目基本情况!C$12:I$12,C6,项目基本情况!C$14:I$14)</f>
        <v>50</v>
      </c>
      <c r="E6" s="547">
        <f>IF(B6="","",SUMIF(项目基本情况!C$12:I$12,C6,项目基本情况!C$13:I$13))</f>
        <v>52610</v>
      </c>
      <c r="F6" s="3295">
        <f>SUMIF(项目基本情况!C$12:I$12,C6,项目基本情况!C$15:I$15)</f>
        <v>17.86</v>
      </c>
      <c r="G6" s="3296">
        <f t="shared" ref="G6:G13" si="0">IF(ISERROR(ROUND(POWER(1+H6,D6-F6)*(POWER(1+H6,F6)-1)/(POWER(1+H6,D6)-1),4)),0,ROUND(POWER(1+H6,D6-F6)*(POWER(1+H6,F6)-1)/(POWER(1+H6,D6)-1),4))</f>
        <v>0.63719999999999999</v>
      </c>
      <c r="H6" s="3297">
        <v>0.05</v>
      </c>
      <c r="I6" s="3297">
        <v>5.5E-2</v>
      </c>
      <c r="J6" s="3298">
        <v>7.0000000000000007E-2</v>
      </c>
      <c r="K6" s="3802">
        <f>SUMIF('数据-汇总表'!C$19:C$33,A6,'数据-汇总表'!E$19:E$33)</f>
        <v>12000.23</v>
      </c>
      <c r="L6" s="3803">
        <v>4400</v>
      </c>
      <c r="M6" s="3804">
        <f t="shared" ref="M6:M14" si="1">ROUND(K6*L6/10000,0)</f>
        <v>5280</v>
      </c>
      <c r="N6" s="3285">
        <f>N21</f>
        <v>0.7</v>
      </c>
      <c r="O6" s="3804" t="str">
        <f>IF($N$5="成新度","——",ROUND(M6*N6,0))</f>
        <v>——</v>
      </c>
      <c r="P6" s="3634" t="str">
        <f>IF($N$5="成新度","——",M6-O6)</f>
        <v>——</v>
      </c>
      <c r="Q6" s="3286">
        <v>0.15</v>
      </c>
      <c r="R6" s="3818">
        <f ca="1">SUMIF('数据-汇总表'!C$19:C$33,A6,'数据-汇总表'!R$19:R$27)</f>
        <v>1066.21</v>
      </c>
      <c r="S6" s="3782">
        <f>IF('数据-汇总表'!$I$17="按面积比例",SUMIF('数据-汇总表'!C$19:C$33,A6,'数据-汇总表'!K$19:K$33),SUMIF('数据-汇总表'!C$19:C$33,A6,'数据-汇总表'!N$19:N$33))</f>
        <v>0</v>
      </c>
      <c r="T6" s="3819">
        <f>ROUND($L$14*S6/10000,0)</f>
        <v>0</v>
      </c>
      <c r="U6" s="3823">
        <v>2.8</v>
      </c>
      <c r="V6" s="36">
        <v>1.4999999999999999E-2</v>
      </c>
      <c r="W6" s="36">
        <v>0.1</v>
      </c>
      <c r="X6" s="684"/>
      <c r="Y6" s="37">
        <f>N6</f>
        <v>0.7</v>
      </c>
      <c r="Z6" s="3828"/>
      <c r="AA6" s="35"/>
      <c r="AB6" s="35"/>
      <c r="AC6" s="684"/>
      <c r="AD6" s="38"/>
      <c r="AE6" s="685">
        <f ca="1">IF(AN6="",0,SUMIF(INDIRECT("'"&amp;AN6&amp;"'"&amp;"!E:E"),$AE$5,INDIRECT("'"&amp;AN6&amp;"'"&amp;"!F:F")))</f>
        <v>17.86</v>
      </c>
      <c r="AF6" s="3830"/>
      <c r="AG6" s="52">
        <f>IF(AF6="",0,AE6-AF6)</f>
        <v>0</v>
      </c>
      <c r="AH6" s="3823"/>
      <c r="AI6" s="3831">
        <v>365</v>
      </c>
      <c r="AJ6" s="3830"/>
      <c r="AK6" s="39">
        <v>5.0000000000000001E-3</v>
      </c>
      <c r="AL6" s="40">
        <v>1E-3</v>
      </c>
      <c r="AM6" s="41">
        <v>0.01</v>
      </c>
      <c r="AN6" s="1224" t="s">
        <v>4112</v>
      </c>
      <c r="AO6" s="3782">
        <f ca="1">SUMIF(INDIRECT("'"&amp;AN6&amp;"'"&amp;"!A:A"),"总价",INDIRECT("'"&amp;AN6&amp;"'"&amp;"!B:B"))</f>
        <v>13192</v>
      </c>
      <c r="AP6" s="3782">
        <f>IF(C6="住宅",K6*L6,0)</f>
        <v>0</v>
      </c>
      <c r="AQ6" s="3782">
        <f>ROUND($L$14*$N$14*S6/10000,0)</f>
        <v>0</v>
      </c>
      <c r="AR6" s="3782">
        <f>ROUND($L$14*(1-$N$14)*S6/10000,0)</f>
        <v>0</v>
      </c>
      <c r="AS6" s="3782">
        <f>ROUND(1-1/(1+H6)^F6,3)</f>
        <v>0.58199999999999996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2">
        <f>SUMIF('数据-汇总表'!C$19:C$33,A7,'数据-汇总表'!E$19:E$33)</f>
        <v>0</v>
      </c>
      <c r="L7" s="3803"/>
      <c r="M7" s="3804">
        <f t="shared" si="1"/>
        <v>0</v>
      </c>
      <c r="N7" s="3285"/>
      <c r="O7" s="3804" t="str">
        <f t="shared" ref="O7:O14" si="3">IF($N$5="成新度","——",ROUND(M7*N7,0))</f>
        <v>——</v>
      </c>
      <c r="P7" s="3634" t="str">
        <f t="shared" ref="P7:P14" si="4">IF($N$5="成新度","——",M7-O7)</f>
        <v>——</v>
      </c>
      <c r="Q7" s="3286"/>
      <c r="R7" s="3818">
        <f ca="1">SUMIF('数据-汇总表'!C$19:C$33,A7,'数据-汇总表'!R$19:R$27)</f>
        <v>0</v>
      </c>
      <c r="S7" s="3782">
        <f>IF('数据-汇总表'!$I$17="按面积比例",SUMIF('数据-汇总表'!C$19:C$33,A7,'数据-汇总表'!K$19:K$33),SUMIF('数据-汇总表'!C$19:C$33,A7,'数据-汇总表'!N$19:N$33))</f>
        <v>0</v>
      </c>
      <c r="T7" s="3819">
        <f t="shared" ref="T7:T13" si="5">ROUND($L$14*S7/10000,0)</f>
        <v>0</v>
      </c>
      <c r="U7" s="3823"/>
      <c r="V7" s="36"/>
      <c r="W7" s="36"/>
      <c r="X7" s="684"/>
      <c r="Y7" s="37"/>
      <c r="Z7" s="3828"/>
      <c r="AA7" s="35"/>
      <c r="AB7" s="35"/>
      <c r="AC7" s="684"/>
      <c r="AD7" s="38"/>
      <c r="AE7" s="685">
        <f t="shared" ref="AE7:AE13" ca="1" si="6">IF(AN7="",0,SUMIF(INDIRECT("'"&amp;AN7&amp;"'"&amp;"!E:E"),$AE$5,INDIRECT("'"&amp;AN7&amp;"'"&amp;"!F:F")))</f>
        <v>0</v>
      </c>
      <c r="AF7" s="3830"/>
      <c r="AG7" s="52">
        <f t="shared" ref="AG7:AG13" si="7">IF(AF7="",0,AE7-AF7)</f>
        <v>0</v>
      </c>
      <c r="AH7" s="3823"/>
      <c r="AI7" s="3831"/>
      <c r="AJ7" s="3830"/>
      <c r="AK7" s="39"/>
      <c r="AL7" s="40"/>
      <c r="AM7" s="41"/>
      <c r="AN7" s="1224"/>
      <c r="AO7" s="3782" t="e">
        <f t="shared" ref="AO7:AO13" ca="1" si="8">SUMIF(INDIRECT("'"&amp;AN7&amp;"'"&amp;"!A:A"),"总价",INDIRECT("'"&amp;AN7&amp;"'"&amp;"!B:B"))</f>
        <v>#REF!</v>
      </c>
      <c r="AP7" s="3782">
        <f t="shared" ref="AP7:AP13" si="9">IF(C7="住宅",K7*L7,0)</f>
        <v>0</v>
      </c>
      <c r="AQ7" s="3782">
        <f t="shared" ref="AQ7:AQ13" si="10">ROUND($L$14*$N$14*S7/10000,0)</f>
        <v>0</v>
      </c>
      <c r="AR7" s="3782">
        <f t="shared" ref="AR7:AR13" si="11">ROUND($L$14*(1-$N$14)*S7/10000,0)</f>
        <v>0</v>
      </c>
      <c r="AS7" s="378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2">
        <f>SUMIF('数据-汇总表'!C$19:C$33,A8,'数据-汇总表'!E$19:E$33)</f>
        <v>0</v>
      </c>
      <c r="L8" s="3803"/>
      <c r="M8" s="3804">
        <f>ROUND(K8*L8/10000,0)</f>
        <v>0</v>
      </c>
      <c r="N8" s="3285"/>
      <c r="O8" s="3804" t="str">
        <f t="shared" si="3"/>
        <v>——</v>
      </c>
      <c r="P8" s="3634" t="str">
        <f t="shared" si="4"/>
        <v>——</v>
      </c>
      <c r="Q8" s="3286"/>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2">
        <f>SUMIF('数据-汇总表'!C$19:C$33,A9,'数据-汇总表'!E$19:E$33)</f>
        <v>0</v>
      </c>
      <c r="L9" s="3803"/>
      <c r="M9" s="3804">
        <f t="shared" si="1"/>
        <v>0</v>
      </c>
      <c r="N9" s="3285"/>
      <c r="O9" s="3804" t="str">
        <f t="shared" si="3"/>
        <v>——</v>
      </c>
      <c r="P9" s="3634" t="str">
        <f t="shared" si="4"/>
        <v>——</v>
      </c>
      <c r="Q9" s="3287"/>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2">
        <f>SUMIF('数据-汇总表'!C$19:C$33,A10,'数据-汇总表'!E$19:E$33)</f>
        <v>0</v>
      </c>
      <c r="L10" s="3803"/>
      <c r="M10" s="3804">
        <f t="shared" si="1"/>
        <v>0</v>
      </c>
      <c r="N10" s="3285"/>
      <c r="O10" s="3804" t="str">
        <f t="shared" si="3"/>
        <v>——</v>
      </c>
      <c r="P10" s="3634" t="str">
        <f t="shared" si="4"/>
        <v>——</v>
      </c>
      <c r="Q10" s="3287"/>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2">
        <f>SUMIF('数据-汇总表'!C$19:C$33,A11,'数据-汇总表'!E$19:E$33)</f>
        <v>0</v>
      </c>
      <c r="L11" s="3805"/>
      <c r="M11" s="3804">
        <f t="shared" si="1"/>
        <v>0</v>
      </c>
      <c r="N11" s="3285"/>
      <c r="O11" s="3804" t="str">
        <f t="shared" si="3"/>
        <v>——</v>
      </c>
      <c r="P11" s="3634" t="str">
        <f t="shared" si="4"/>
        <v>——</v>
      </c>
      <c r="Q11" s="3287"/>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2">
        <f>SUMIF('数据-汇总表'!C$19:C$33,A12,'数据-汇总表'!E$19:E$33)</f>
        <v>0</v>
      </c>
      <c r="L12" s="3805"/>
      <c r="M12" s="3804">
        <f>ROUND(K12*L12/10000,0)</f>
        <v>0</v>
      </c>
      <c r="N12" s="3285"/>
      <c r="O12" s="3804" t="str">
        <f t="shared" si="3"/>
        <v>——</v>
      </c>
      <c r="P12" s="3634" t="str">
        <f t="shared" si="4"/>
        <v>——</v>
      </c>
      <c r="Q12" s="3287"/>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2">
        <f>SUMIF('数据-汇总表'!C$19:C$33,A13,'数据-汇总表'!E$19:E$33)</f>
        <v>0</v>
      </c>
      <c r="L13" s="3805"/>
      <c r="M13" s="3804">
        <f>ROUND(K13*L13/10000,0)</f>
        <v>0</v>
      </c>
      <c r="N13" s="3288"/>
      <c r="O13" s="3804" t="str">
        <f t="shared" si="3"/>
        <v>——</v>
      </c>
      <c r="P13" s="3634" t="str">
        <f t="shared" si="4"/>
        <v>——</v>
      </c>
      <c r="Q13" s="3287"/>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3"/>
      <c r="E14" s="547"/>
      <c r="F14" s="3295"/>
      <c r="G14" s="3296"/>
      <c r="H14" s="3299"/>
      <c r="I14" s="3299"/>
      <c r="J14" s="3299"/>
      <c r="K14" s="3802">
        <f>SUMIF('数据-汇总表'!C$19:C$33,A14,'数据-汇总表'!E$19:E$33)</f>
        <v>0</v>
      </c>
      <c r="L14" s="3805"/>
      <c r="M14" s="3804">
        <f t="shared" si="1"/>
        <v>0</v>
      </c>
      <c r="N14" s="3288"/>
      <c r="O14" s="3804" t="str">
        <f t="shared" si="3"/>
        <v>——</v>
      </c>
      <c r="P14" s="3634" t="str">
        <f t="shared" si="4"/>
        <v>——</v>
      </c>
      <c r="Q14" s="3289"/>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3"/>
      <c r="E15" s="547"/>
      <c r="F15" s="3295"/>
      <c r="G15" s="3296"/>
      <c r="H15" s="3299"/>
      <c r="I15" s="3299"/>
      <c r="J15" s="3299"/>
      <c r="K15" s="3802">
        <f>SUMIF('数据-汇总表'!C$19:C$33,A15,'数据-汇总表'!E$19:E$33)</f>
        <v>0</v>
      </c>
      <c r="L15" s="3804"/>
      <c r="M15" s="3804"/>
      <c r="N15" s="3290"/>
      <c r="O15" s="3804"/>
      <c r="P15" s="3634"/>
      <c r="Q15" s="3289"/>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4"/>
      <c r="E16" s="42"/>
      <c r="F16" s="3300"/>
      <c r="G16" s="3301">
        <f>ROUND(SUMPRODUCT(G6:G13,K6:K13)/SUMPRODUCT((G6:G13&gt;0)*(K6:K13)),4)</f>
        <v>0.63719999999999999</v>
      </c>
      <c r="H16" s="3302">
        <f>ROUND(SUMPRODUCT(H6:H13,K6:K13)/SUMPRODUCT((H6:H13&gt;0)*(K6:K13)),3)</f>
        <v>0.05</v>
      </c>
      <c r="I16" s="3303"/>
      <c r="J16" s="3303"/>
      <c r="K16" s="3806">
        <f>SUM(K6:K15)</f>
        <v>12000.23</v>
      </c>
      <c r="L16" s="3807">
        <f>ROUND(M16*10000/SUM(K6:K14),0)</f>
        <v>4400</v>
      </c>
      <c r="M16" s="3807">
        <f>SUM(M6:M14)</f>
        <v>5280</v>
      </c>
      <c r="N16" s="3291">
        <f>ROUND(SUMPRODUCT(M6:M14,N6:N14)/M16,3)</f>
        <v>0.7</v>
      </c>
      <c r="O16" s="3807">
        <f>SUM(O6:O14)</f>
        <v>0</v>
      </c>
      <c r="P16" s="3807">
        <f>SUM(P6:P14)</f>
        <v>0</v>
      </c>
      <c r="Q16" s="3292">
        <f>ROUND(SUMPRODUCT(Q6:Q13,K6:K13)/SUMPRODUCT((Q6:Q13&gt;0)*(K6:K13)),2)</f>
        <v>0.15</v>
      </c>
      <c r="R16" s="3820">
        <f ca="1">SUM(R6:R13)</f>
        <v>1066.21</v>
      </c>
      <c r="S16" s="3821">
        <f>SUM(S6:S13)</f>
        <v>0</v>
      </c>
      <c r="T16" s="3822">
        <f>IF(SUMIF(T6:T13,"&lt;9E307")=M14,SUMIF(T6:T13,"&lt;9E307"),"有误，请检查")</f>
        <v>0</v>
      </c>
      <c r="U16" s="3827"/>
      <c r="V16" s="43"/>
      <c r="W16" s="43"/>
      <c r="X16" s="45"/>
      <c r="Y16" s="44"/>
      <c r="Z16" s="1926"/>
      <c r="AA16" s="43"/>
      <c r="AB16" s="43"/>
      <c r="AC16" s="45"/>
      <c r="AD16" s="45"/>
      <c r="AE16" s="3827"/>
      <c r="AF16" s="43"/>
      <c r="AG16" s="44"/>
      <c r="AH16" s="3827"/>
      <c r="AI16" s="1926"/>
      <c r="AJ16" s="1926"/>
      <c r="AK16" s="43"/>
      <c r="AL16" s="43"/>
      <c r="AM16" s="44"/>
      <c r="AN16" s="1938"/>
      <c r="AO16" s="3318"/>
      <c r="AP16" s="3318"/>
      <c r="AQ16" s="3318"/>
      <c r="AR16" s="3318"/>
      <c r="AS16" s="3782">
        <f>ROUND(SUMPRODUCT(AS6:AS13,K6:K13)/SUMPRODUCT((AS6:AS13&gt;0)*(K6:K13)),3)</f>
        <v>0.58199999999999996</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4.5" thickBot="1">
      <c r="A18" s="31" t="s">
        <v>1193</v>
      </c>
      <c r="B18" s="1948"/>
      <c r="C18" s="1928"/>
      <c r="D18" s="1941"/>
      <c r="E18" s="1928"/>
      <c r="F18" s="1928"/>
      <c r="G18" s="1928"/>
      <c r="H18" s="1928"/>
      <c r="I18" s="1928"/>
      <c r="J18" s="1928"/>
      <c r="K18" s="1939"/>
      <c r="L18" s="1939"/>
      <c r="M18" s="4244" t="s">
        <v>4107</v>
      </c>
      <c r="N18" s="1938">
        <v>1995</v>
      </c>
      <c r="O18" s="4244" t="s">
        <v>4108</v>
      </c>
      <c r="P18" s="1938"/>
      <c r="Q18" s="1938"/>
      <c r="R18" s="1938"/>
      <c r="S18" s="1938"/>
      <c r="T18" s="1938"/>
      <c r="U18" s="1938">
        <v>3.5</v>
      </c>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
      <c r="A19" s="3842" t="s">
        <v>1194</v>
      </c>
      <c r="B19" s="3808">
        <v>0</v>
      </c>
      <c r="C19" s="3919" t="s">
        <v>2198</v>
      </c>
      <c r="D19" s="3915"/>
      <c r="E19" s="3916"/>
      <c r="F19" s="3916"/>
      <c r="G19" s="3916"/>
      <c r="H19" s="1928"/>
      <c r="I19" s="1928"/>
      <c r="J19" s="1928"/>
      <c r="K19" s="1939">
        <v>4800</v>
      </c>
      <c r="L19" s="1939"/>
      <c r="M19" s="4244" t="s">
        <v>4109</v>
      </c>
      <c r="N19" s="1938">
        <f>ROUND(1-(1-0)*(2026-N18)/60,2)</f>
        <v>0.48</v>
      </c>
      <c r="O19" s="1938">
        <v>0.4</v>
      </c>
      <c r="P19" s="1938"/>
      <c r="Q19" s="1938"/>
      <c r="R19" s="1938"/>
      <c r="S19" s="1938"/>
      <c r="T19" s="1938"/>
      <c r="U19" s="1938">
        <f>U18/1.09</f>
        <v>3.2110091743119265</v>
      </c>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
      <c r="A20" s="1229" t="s">
        <v>1195</v>
      </c>
      <c r="B20" s="3809">
        <v>2.5</v>
      </c>
      <c r="C20" s="3917" t="s">
        <v>3850</v>
      </c>
      <c r="D20" s="3915"/>
      <c r="E20" s="3916"/>
      <c r="F20" s="3916"/>
      <c r="G20" s="3916"/>
      <c r="H20" s="1928"/>
      <c r="I20" s="1928"/>
      <c r="J20" s="1928"/>
      <c r="K20" s="1939">
        <f>K19/1.09</f>
        <v>4403.6697247706416</v>
      </c>
      <c r="L20" s="1939"/>
      <c r="M20" s="4244" t="s">
        <v>4110</v>
      </c>
      <c r="N20" s="1938">
        <v>0.85</v>
      </c>
      <c r="O20" s="1938">
        <v>0.6</v>
      </c>
      <c r="P20" s="1938"/>
      <c r="Q20" s="1938"/>
      <c r="R20" s="1938"/>
      <c r="S20" s="1938"/>
      <c r="T20" s="1938"/>
      <c r="U20" s="48"/>
      <c r="V20" s="4244" t="s">
        <v>4345</v>
      </c>
      <c r="W20" s="4244" t="s">
        <v>4344</v>
      </c>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
      <c r="A21" s="1230" t="s">
        <v>1196</v>
      </c>
      <c r="B21" s="3809">
        <f>B20</f>
        <v>2.5</v>
      </c>
      <c r="C21" s="1928"/>
      <c r="D21" s="1941"/>
      <c r="E21" s="1928"/>
      <c r="F21" s="1928"/>
      <c r="G21" s="1928"/>
      <c r="H21" s="1928"/>
      <c r="I21" s="1928"/>
      <c r="J21" s="1928"/>
      <c r="K21" s="1939"/>
      <c r="L21" s="1939"/>
      <c r="M21" s="4244" t="s">
        <v>4111</v>
      </c>
      <c r="N21" s="1938">
        <f>ROUND((N19*O19+N20*O20),2)</f>
        <v>0.7</v>
      </c>
      <c r="O21" s="1938"/>
      <c r="P21" s="1938"/>
      <c r="Q21" s="1938"/>
      <c r="R21" s="1938"/>
      <c r="S21" s="1938"/>
      <c r="T21" s="4244" t="s">
        <v>4340</v>
      </c>
      <c r="U21" s="1938">
        <v>3.2</v>
      </c>
      <c r="V21" s="1938">
        <v>1</v>
      </c>
      <c r="W21" s="1938">
        <f>'数据-基础表'!I13</f>
        <v>9775.8700000000008</v>
      </c>
      <c r="X21" s="1938">
        <f>U21*W21</f>
        <v>31282.784000000003</v>
      </c>
      <c r="Y21" s="1938"/>
      <c r="Z21" s="1938"/>
      <c r="AA21" s="1938"/>
      <c r="AB21" s="4285" t="s">
        <v>4346</v>
      </c>
      <c r="AC21" s="1938"/>
      <c r="AD21" s="1938"/>
      <c r="AE21" s="1938"/>
      <c r="AF21" s="1938"/>
      <c r="AG21" s="1938"/>
      <c r="AH21" s="1938"/>
      <c r="AI21" s="1938"/>
      <c r="AJ21" s="1938"/>
      <c r="AK21" s="1938"/>
      <c r="AL21" s="1938"/>
      <c r="AM21" s="1938"/>
      <c r="AN21" s="1938"/>
      <c r="AO21" s="3316"/>
      <c r="AP21" s="3316"/>
      <c r="AQ21" s="3316"/>
      <c r="AR21" s="3316"/>
    </row>
    <row r="22" spans="1:44" ht="14">
      <c r="A22" s="1229" t="s">
        <v>1197</v>
      </c>
      <c r="B22" s="3810">
        <f>B19+B20</f>
        <v>2.5</v>
      </c>
      <c r="C22" s="1928"/>
      <c r="D22" s="1941"/>
      <c r="E22" s="1928"/>
      <c r="F22" s="1928"/>
      <c r="G22" s="1928"/>
      <c r="H22" s="1928"/>
      <c r="I22" s="1928"/>
      <c r="J22" s="1928"/>
      <c r="K22" s="1939"/>
      <c r="L22" s="1939"/>
      <c r="M22" s="1938"/>
      <c r="N22" s="1938"/>
      <c r="O22" s="1938"/>
      <c r="P22" s="1938"/>
      <c r="Q22" s="1938"/>
      <c r="R22" s="1938"/>
      <c r="S22" s="1938"/>
      <c r="T22" s="4244" t="s">
        <v>4341</v>
      </c>
      <c r="U22" s="1938">
        <f>U21*V22</f>
        <v>1.2800000000000002</v>
      </c>
      <c r="V22" s="1938">
        <v>0.4</v>
      </c>
      <c r="W22" s="1938">
        <f>'数据-基础表'!K13</f>
        <v>1306.8499999999999</v>
      </c>
      <c r="X22" s="1938">
        <f t="shared" ref="X22:X23" si="13">U22*W22</f>
        <v>1672.7680000000003</v>
      </c>
      <c r="Y22" s="1938"/>
      <c r="Z22" s="1938"/>
      <c r="AA22" s="1938"/>
      <c r="AB22" s="1938">
        <v>50</v>
      </c>
      <c r="AC22" s="1938"/>
      <c r="AD22" s="1938"/>
      <c r="AE22" s="1938"/>
      <c r="AF22" s="1938"/>
      <c r="AG22" s="1938"/>
      <c r="AH22" s="1938"/>
      <c r="AI22" s="1938"/>
      <c r="AJ22" s="1938"/>
      <c r="AK22" s="1938"/>
      <c r="AL22" s="1938"/>
      <c r="AM22" s="1938"/>
      <c r="AN22" s="1938"/>
      <c r="AO22" s="3316"/>
      <c r="AP22" s="3316"/>
      <c r="AQ22" s="3316"/>
      <c r="AR22" s="3316"/>
    </row>
    <row r="23" spans="1:44" ht="14">
      <c r="A23" s="1230" t="s">
        <v>1198</v>
      </c>
      <c r="B23" s="3810">
        <f>B19+B21</f>
        <v>2.5</v>
      </c>
      <c r="C23" s="1928"/>
      <c r="D23" s="1941"/>
      <c r="E23" s="1928"/>
      <c r="F23" s="1928"/>
      <c r="G23" s="1928"/>
      <c r="H23" s="1928"/>
      <c r="I23" s="1928"/>
      <c r="J23" s="1928"/>
      <c r="K23" s="1939"/>
      <c r="L23" s="1939"/>
      <c r="M23" s="1938"/>
      <c r="N23" s="1938"/>
      <c r="O23" s="1938"/>
      <c r="P23" s="1938"/>
      <c r="Q23" s="1938"/>
      <c r="R23" s="4285" t="s">
        <v>4343</v>
      </c>
      <c r="S23" s="1938"/>
      <c r="T23" s="4244" t="s">
        <v>4342</v>
      </c>
      <c r="U23" s="1938">
        <f>1000/30/50</f>
        <v>0.66666666666666674</v>
      </c>
      <c r="V23" s="1938"/>
      <c r="W23" s="1938">
        <f>'数据-基础表'!M13</f>
        <v>917.51</v>
      </c>
      <c r="X23" s="1938">
        <f t="shared" si="13"/>
        <v>611.6733333333334</v>
      </c>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4.5" thickBot="1">
      <c r="A24" s="1231" t="s">
        <v>1199</v>
      </c>
      <c r="B24" s="3811">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f>SUM(W21:W23)</f>
        <v>12000.230000000001</v>
      </c>
      <c r="X24" s="1938">
        <f>SUM(X21:X23)</f>
        <v>33567.225333333336</v>
      </c>
      <c r="Y24" s="1938"/>
      <c r="Z24" s="1251">
        <f>X24/W24</f>
        <v>2.7972151644871248</v>
      </c>
      <c r="AA24" s="1938"/>
      <c r="AB24" s="1938"/>
      <c r="AC24" s="1938"/>
      <c r="AD24" s="1938"/>
      <c r="AE24" s="1938"/>
      <c r="AF24" s="1938"/>
      <c r="AG24" s="1938"/>
      <c r="AH24" s="1938"/>
      <c r="AI24" s="1938"/>
      <c r="AJ24" s="1938"/>
      <c r="AK24" s="1938"/>
      <c r="AL24" s="1938"/>
      <c r="AM24" s="1938"/>
      <c r="AN24" s="1938"/>
      <c r="AO24" s="3316"/>
      <c r="AP24" s="3316"/>
      <c r="AQ24" s="3316"/>
      <c r="AR24" s="3316"/>
    </row>
    <row r="25" spans="1:44" ht="14.5" thickBot="1">
      <c r="A25" s="1093"/>
      <c r="B25" s="1182"/>
      <c r="C25" s="1928"/>
      <c r="D25" s="1941"/>
      <c r="E25" s="1928"/>
      <c r="F25" s="3619"/>
      <c r="G25" s="1928"/>
      <c r="H25" s="1928"/>
      <c r="I25" s="1928"/>
      <c r="J25" s="1928"/>
      <c r="K25" s="1939"/>
      <c r="L25" s="1939"/>
      <c r="M25" s="1938"/>
      <c r="N25" s="1938"/>
      <c r="O25" s="1938"/>
      <c r="P25" s="1938"/>
      <c r="Q25" s="1938"/>
      <c r="R25" s="1938"/>
      <c r="S25" s="1938"/>
      <c r="T25" s="1938"/>
      <c r="U25" s="1938"/>
      <c r="V25" s="1938"/>
      <c r="W25" s="1938">
        <f>W23/50</f>
        <v>18.350200000000001</v>
      </c>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5">
      <c r="A27" s="1233" t="s">
        <v>1202</v>
      </c>
      <c r="B27" s="3812"/>
      <c r="C27" s="3962" t="s">
        <v>2199</v>
      </c>
      <c r="D27" s="3920"/>
      <c r="E27" s="3921"/>
      <c r="F27" s="3921"/>
      <c r="G27" s="3916"/>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5">
      <c r="A28" s="1234" t="s">
        <v>1203</v>
      </c>
      <c r="B28" s="3813">
        <v>200</v>
      </c>
      <c r="C28" s="4109"/>
      <c r="D28" s="3920"/>
      <c r="E28" s="3921"/>
      <c r="F28" s="3921"/>
      <c r="G28" s="3916"/>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29" thickBot="1">
      <c r="A29" s="1235" t="s">
        <v>1204</v>
      </c>
      <c r="B29" s="3814">
        <f ca="1">成本法!H15</f>
        <v>240</v>
      </c>
      <c r="C29" s="3963" t="s">
        <v>3849</v>
      </c>
      <c r="D29" s="3920"/>
      <c r="E29" s="3921"/>
      <c r="F29" s="3921"/>
      <c r="G29" s="3916"/>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
      <c r="A30" s="1236" t="s">
        <v>1205</v>
      </c>
      <c r="B30" s="3815">
        <v>375</v>
      </c>
      <c r="C30" s="3968" t="s">
        <v>3977</v>
      </c>
      <c r="D30" s="3920"/>
      <c r="E30" s="3921"/>
      <c r="F30" s="3921"/>
      <c r="G30" s="3916"/>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
      <c r="A31" s="1234" t="s">
        <v>1206</v>
      </c>
      <c r="B31" s="3810">
        <f>B30-B32</f>
        <v>375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4.5" thickBot="1">
      <c r="A32" s="1237" t="s">
        <v>1207</v>
      </c>
      <c r="B32" s="3816"/>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
      <c r="A33" s="3845" t="s">
        <v>3814</v>
      </c>
      <c r="B33" s="3909">
        <v>0.06</v>
      </c>
      <c r="C33" s="3953" t="s">
        <v>3842</v>
      </c>
      <c r="D33" s="3915"/>
      <c r="E33" s="3916"/>
      <c r="F33" s="3916"/>
      <c r="G33" s="3916"/>
      <c r="H33" s="1928"/>
      <c r="I33" s="1928">
        <v>280</v>
      </c>
      <c r="J33" s="1928">
        <f>I33*K16/10000/M16</f>
        <v>6.3637583333333331E-2</v>
      </c>
      <c r="K33" s="1939">
        <f>I33*K16/10000</f>
        <v>336.00644</v>
      </c>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
      <c r="A34" s="1234" t="s">
        <v>1208</v>
      </c>
      <c r="B34" s="3910">
        <v>0</v>
      </c>
      <c r="C34" s="3917" t="s">
        <v>3844</v>
      </c>
      <c r="D34" s="3922"/>
      <c r="E34" s="3918"/>
      <c r="F34" s="3916"/>
      <c r="G34" s="3916"/>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
      <c r="A35" s="1234" t="s">
        <v>1209</v>
      </c>
      <c r="B35" s="3911">
        <v>300</v>
      </c>
      <c r="C35" s="3919" t="s">
        <v>3846</v>
      </c>
      <c r="D35" s="3920"/>
      <c r="E35" s="3921"/>
      <c r="F35" s="3921"/>
      <c r="G35" s="3916"/>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
      <c r="A36" s="3843" t="s">
        <v>3293</v>
      </c>
      <c r="B36" s="3304">
        <v>0.01</v>
      </c>
      <c r="C36" s="3954" t="s">
        <v>3845</v>
      </c>
      <c r="D36" s="3920"/>
      <c r="E36" s="3921"/>
      <c r="F36" s="3921"/>
      <c r="G36" s="3916"/>
      <c r="H36" s="1928"/>
      <c r="I36" s="1928">
        <v>50</v>
      </c>
      <c r="J36" s="1928">
        <f>I36*K16/10000/M16</f>
        <v>1.1363854166666668E-2</v>
      </c>
      <c r="K36" s="1939">
        <f>I36*K16/10000</f>
        <v>60.001150000000003</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4.5" thickBot="1">
      <c r="A37" s="3844" t="s">
        <v>3294</v>
      </c>
      <c r="B37" s="3305">
        <v>0</v>
      </c>
      <c r="C37" s="3919" t="s">
        <v>3843</v>
      </c>
      <c r="D37" s="3915"/>
      <c r="E37" s="3916"/>
      <c r="F37" s="3916"/>
      <c r="G37" s="3916"/>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
      <c r="A38" s="1236" t="s">
        <v>1210</v>
      </c>
      <c r="B38" s="3306">
        <v>0.02</v>
      </c>
      <c r="C38" s="3917" t="s">
        <v>3269</v>
      </c>
      <c r="D38" s="3915"/>
      <c r="E38" s="3916"/>
      <c r="F38" s="3916"/>
      <c r="G38" s="3916"/>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
      <c r="A39" s="1234" t="s">
        <v>1211</v>
      </c>
      <c r="B39" s="3304">
        <v>0.02</v>
      </c>
      <c r="C39" s="3917" t="s">
        <v>3847</v>
      </c>
      <c r="D39" s="3915"/>
      <c r="E39" s="3916"/>
      <c r="F39" s="3916"/>
      <c r="G39" s="3916"/>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4.5" thickBot="1">
      <c r="A41" s="2048" t="s">
        <v>2205</v>
      </c>
      <c r="B41" s="3308">
        <f ca="1">IF(A41="利息：取LPR",存贷款利率!G1,存贷款利率!G1+C41)</f>
        <v>3.1899999999999998E-2</v>
      </c>
      <c r="C41" s="4110"/>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
      <c r="A42" s="3845" t="s">
        <v>3286</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
      <c r="A43" s="1238" t="s">
        <v>1213</v>
      </c>
      <c r="B43" s="3907">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
      <c r="A44" s="1238" t="s">
        <v>1214</v>
      </c>
      <c r="B44" s="3908">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
      <c r="A45" s="1239" t="s">
        <v>1215</v>
      </c>
      <c r="B45" s="3310">
        <v>7.0000000000000007E-2</v>
      </c>
      <c r="C45" s="3917" t="s">
        <v>3270</v>
      </c>
      <c r="D45" s="3915"/>
      <c r="E45" s="3916"/>
      <c r="F45" s="3916"/>
      <c r="G45" s="3916"/>
      <c r="H45" s="4245" t="s">
        <v>4113</v>
      </c>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
      <c r="A46" s="1239" t="s">
        <v>1216</v>
      </c>
      <c r="B46" s="3311">
        <v>0.03</v>
      </c>
      <c r="C46" s="3963" t="s">
        <v>3851</v>
      </c>
      <c r="D46" s="3964"/>
      <c r="E46" s="3965"/>
      <c r="F46" s="3916"/>
      <c r="G46" s="3916"/>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
      <c r="A47" s="1239" t="s">
        <v>1217</v>
      </c>
      <c r="B47" s="3311">
        <v>0.02</v>
      </c>
      <c r="C47" s="3963" t="s">
        <v>3852</v>
      </c>
      <c r="D47" s="3964"/>
      <c r="E47" s="3965"/>
      <c r="F47" s="3916"/>
      <c r="G47" s="3916"/>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4.5" thickBot="1">
      <c r="A48" s="1240" t="s">
        <v>1218</v>
      </c>
      <c r="B48" s="3312"/>
      <c r="C48" s="3966" t="s">
        <v>2200</v>
      </c>
      <c r="D48" s="3964"/>
      <c r="E48" s="3965"/>
      <c r="F48" s="3916"/>
      <c r="G48" s="3916"/>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
      <c r="A49" s="1241" t="s">
        <v>1219</v>
      </c>
      <c r="B49" s="3313">
        <v>0.03</v>
      </c>
      <c r="C49" s="3963" t="s">
        <v>3853</v>
      </c>
      <c r="D49" s="3964"/>
      <c r="E49" s="3965"/>
      <c r="F49" s="3916"/>
      <c r="G49" s="3916"/>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4.5" thickBot="1">
      <c r="A50" s="1237" t="s">
        <v>1220</v>
      </c>
      <c r="B50" s="3311">
        <v>5.0000000000000001E-4</v>
      </c>
      <c r="C50" s="3963" t="s">
        <v>3854</v>
      </c>
      <c r="D50" s="3964"/>
      <c r="E50" s="3965"/>
      <c r="F50" s="3916"/>
      <c r="G50" s="3916"/>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5">
      <c r="A51" s="1242" t="s">
        <v>1221</v>
      </c>
      <c r="B51" s="3906">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5">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
      <c r="A53" s="1242" t="s">
        <v>1223</v>
      </c>
      <c r="B53" s="3314">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
      <c r="A54" s="1234" t="s">
        <v>1224</v>
      </c>
      <c r="B54" s="3315" t="s">
        <v>182</v>
      </c>
      <c r="C54" s="1939" t="s">
        <v>3855</v>
      </c>
      <c r="D54" s="3967" t="s">
        <v>3856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
      <c r="A55" s="1243" t="s">
        <v>1225</v>
      </c>
      <c r="B55" s="3801"/>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
      <c r="A56" s="1243" t="s">
        <v>1226</v>
      </c>
      <c r="B56" s="3801">
        <f>C56</f>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
      <c r="A57" s="1243" t="s">
        <v>1227</v>
      </c>
      <c r="B57" s="3801"/>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
      <c r="A58" s="1243" t="s">
        <v>1228</v>
      </c>
      <c r="B58" s="3801"/>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
      <c r="A59" s="1243" t="s">
        <v>1229</v>
      </c>
      <c r="B59" s="3801"/>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
      <c r="A60" s="1243" t="s">
        <v>1230</v>
      </c>
      <c r="B60" s="3801"/>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
      <c r="A61" s="1243" t="s">
        <v>1231</v>
      </c>
      <c r="B61" s="3801"/>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
      <c r="A62" s="1243" t="s">
        <v>1232</v>
      </c>
      <c r="B62" s="3801"/>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
      <c r="A63" s="1243" t="s">
        <v>1233</v>
      </c>
      <c r="B63" s="3801"/>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4.5" thickBot="1">
      <c r="A64" s="1244" t="s">
        <v>1234</v>
      </c>
      <c r="B64" s="3817"/>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algorithmName="SHA-512" hashValue="kOfENBORIfuQ82wFXORekRoSK9v6khF8xETjoXB0/Xi17WL/M6eWvHNyCgWpfq2jBA8/0lwGhWiqydu2MzIdvg==" saltValue="2q0s2nUPw7rOmm1DM3oefA==" spinCount="100000"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82" t="s">
        <v>2190</v>
      </c>
      <c r="B1" s="4383"/>
      <c r="C1" s="4383"/>
      <c r="D1" s="4383"/>
      <c r="E1" s="4383"/>
      <c r="F1" s="4383"/>
      <c r="G1" s="4383"/>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2185</v>
      </c>
      <c r="D2" s="1228"/>
      <c r="E2" s="1800"/>
      <c r="F2" s="1803"/>
      <c r="G2" s="1802" t="s">
        <v>2186</v>
      </c>
      <c r="H2" s="521"/>
      <c r="I2" s="521"/>
      <c r="J2" s="521"/>
      <c r="K2" s="521"/>
      <c r="L2" s="521"/>
      <c r="M2" s="521"/>
      <c r="N2" s="521"/>
      <c r="O2" s="521"/>
      <c r="P2" s="521"/>
      <c r="Q2" s="521"/>
    </row>
    <row r="3" spans="1:29" ht="52">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9">
      <c r="A4" s="1788"/>
      <c r="B4" s="206" t="s">
        <v>2158</v>
      </c>
      <c r="C4" s="1809" t="s">
        <v>2159</v>
      </c>
      <c r="D4" s="1806"/>
      <c r="E4" s="1810"/>
      <c r="F4" s="924" t="s">
        <v>2160</v>
      </c>
      <c r="G4" s="1811" t="s">
        <v>2161</v>
      </c>
      <c r="H4" s="521"/>
      <c r="I4" s="521"/>
      <c r="J4" s="521"/>
      <c r="K4" s="521"/>
      <c r="L4" s="521"/>
      <c r="M4" s="521"/>
      <c r="N4" s="521"/>
      <c r="O4" s="521"/>
      <c r="P4" s="521"/>
      <c r="Q4" s="521"/>
    </row>
    <row r="5" spans="1:29" ht="39">
      <c r="A5" s="1788"/>
      <c r="B5" s="206" t="s">
        <v>2162</v>
      </c>
      <c r="C5" s="1809" t="s">
        <v>2163</v>
      </c>
      <c r="D5" s="1806"/>
      <c r="E5" s="1810"/>
      <c r="F5" s="206" t="s">
        <v>2164</v>
      </c>
      <c r="G5" s="1811" t="s">
        <v>2165</v>
      </c>
      <c r="H5" s="521"/>
      <c r="I5" s="521"/>
      <c r="J5" s="521"/>
      <c r="K5" s="521"/>
      <c r="L5" s="521"/>
      <c r="M5" s="521"/>
      <c r="N5" s="521"/>
      <c r="O5" s="521"/>
      <c r="P5" s="521"/>
      <c r="Q5" s="521"/>
    </row>
    <row r="6" spans="1:29" ht="39">
      <c r="A6" s="1788"/>
      <c r="B6" s="206" t="s">
        <v>2166</v>
      </c>
      <c r="C6" s="1811" t="s">
        <v>2161</v>
      </c>
      <c r="D6" s="1806"/>
      <c r="E6" s="1810"/>
      <c r="F6" s="206" t="s">
        <v>2167</v>
      </c>
      <c r="G6" s="1811" t="s">
        <v>2168</v>
      </c>
      <c r="H6" s="521"/>
      <c r="I6" s="521"/>
      <c r="J6" s="521"/>
      <c r="K6" s="521"/>
      <c r="L6" s="521"/>
      <c r="M6" s="521"/>
      <c r="N6" s="521"/>
      <c r="O6" s="521"/>
      <c r="P6" s="521"/>
      <c r="Q6" s="521"/>
    </row>
    <row r="7" spans="1:29" ht="39.5" thickBot="1">
      <c r="A7" s="1788"/>
      <c r="B7" s="206" t="s">
        <v>2164</v>
      </c>
      <c r="C7" s="1811" t="s">
        <v>2165</v>
      </c>
      <c r="D7" s="1785"/>
      <c r="E7" s="1812"/>
      <c r="F7" s="1813" t="s">
        <v>2169</v>
      </c>
      <c r="G7" s="1814" t="s">
        <v>2170</v>
      </c>
      <c r="H7" s="521"/>
      <c r="I7" s="521"/>
      <c r="J7" s="521"/>
      <c r="K7" s="521"/>
      <c r="L7" s="521"/>
      <c r="M7" s="521"/>
      <c r="N7" s="521"/>
      <c r="O7" s="521"/>
      <c r="P7" s="521"/>
      <c r="Q7" s="521"/>
    </row>
    <row r="8" spans="1:29" ht="26">
      <c r="A8" s="1788"/>
      <c r="B8" s="206" t="s">
        <v>2167</v>
      </c>
      <c r="C8" s="1811" t="s">
        <v>2168</v>
      </c>
      <c r="D8" s="1785"/>
      <c r="E8" s="1785"/>
      <c r="F8" s="47"/>
      <c r="G8" s="47"/>
      <c r="H8" s="521"/>
      <c r="I8" s="521"/>
      <c r="J8" s="521"/>
      <c r="K8" s="521"/>
      <c r="L8" s="521"/>
      <c r="M8" s="521"/>
      <c r="N8" s="521"/>
      <c r="O8" s="521"/>
      <c r="P8" s="521"/>
      <c r="Q8" s="521"/>
    </row>
    <row r="9" spans="1:29" ht="26">
      <c r="A9" s="1788"/>
      <c r="B9" s="206" t="s">
        <v>2171</v>
      </c>
      <c r="C9" s="1809" t="s">
        <v>2172</v>
      </c>
      <c r="D9" s="1806"/>
      <c r="E9" s="1785"/>
      <c r="F9" s="47"/>
      <c r="G9" s="47"/>
      <c r="H9" s="521"/>
      <c r="I9" s="521"/>
      <c r="J9" s="521"/>
      <c r="K9" s="521"/>
      <c r="L9" s="521"/>
      <c r="M9" s="521"/>
      <c r="N9" s="521"/>
      <c r="O9" s="521"/>
      <c r="P9" s="521"/>
      <c r="Q9" s="521"/>
    </row>
    <row r="10" spans="1:29" ht="14.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2191</v>
      </c>
      <c r="B13" s="1820"/>
      <c r="C13" s="1820"/>
      <c r="D13" s="1819"/>
      <c r="E13" s="1820"/>
      <c r="F13" s="1820"/>
      <c r="G13" s="1820"/>
    </row>
    <row r="14" spans="1:29" ht="14.5" thickBot="1">
      <c r="A14" s="1825"/>
      <c r="B14" s="1825"/>
      <c r="C14" s="1826" t="s">
        <v>2174</v>
      </c>
      <c r="D14" s="1806"/>
      <c r="E14" s="1827"/>
      <c r="F14" s="1827"/>
      <c r="G14" s="1802" t="s">
        <v>2175</v>
      </c>
    </row>
    <row r="15" spans="1:29" ht="50">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7.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7.5">
      <c r="A17" s="1792"/>
      <c r="B17" s="1831" t="s">
        <v>2162</v>
      </c>
      <c r="C17" s="1832" t="str">
        <f>C5</f>
        <v>估价对象位于XX商圈，周边办公楼项目较多，入驻率高，办公集聚程度较好</v>
      </c>
      <c r="D17" s="1785"/>
      <c r="E17" s="1793"/>
      <c r="F17" s="1833" t="s">
        <v>2179</v>
      </c>
      <c r="G17" s="1835"/>
    </row>
    <row r="18" spans="1:17" ht="37.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
      <c r="A19" s="1792"/>
      <c r="B19" s="1833" t="s">
        <v>2180</v>
      </c>
      <c r="C19" s="1835"/>
      <c r="D19" s="1806"/>
      <c r="E19" s="1793"/>
      <c r="F19" s="206" t="s">
        <v>2164</v>
      </c>
      <c r="G19" s="1834" t="str">
        <f>G5</f>
        <v>估价对象所在区域公共配套设施齐备情况</v>
      </c>
    </row>
    <row r="20" spans="1:17" ht="25">
      <c r="A20" s="1792"/>
      <c r="B20" s="1833" t="s">
        <v>2181</v>
      </c>
      <c r="C20" s="1832" t="str">
        <f>C9</f>
        <v>区域自然环境：；人文环境；综合评价环境状况一般</v>
      </c>
      <c r="D20" s="1785"/>
      <c r="E20" s="1793"/>
      <c r="F20" s="206" t="s">
        <v>2167</v>
      </c>
      <c r="G20" s="1834" t="str">
        <f>G6</f>
        <v>估价对象所在区域基础设施水平</v>
      </c>
    </row>
    <row r="21" spans="1:17" ht="2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5" sqref="C15"/>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12000.23</v>
      </c>
      <c r="C1" s="1949"/>
      <c r="D1" s="1949"/>
      <c r="E1" s="1949"/>
      <c r="F1" s="1949"/>
      <c r="G1" s="1950"/>
      <c r="H1" s="1950"/>
      <c r="I1" s="1950"/>
      <c r="J1" s="1950"/>
      <c r="K1" s="1950"/>
    </row>
    <row r="2" spans="1:11" ht="16.5">
      <c r="A2" s="1840" t="s">
        <v>641</v>
      </c>
      <c r="B2" s="1840">
        <f>SUM(C14:C23)</f>
        <v>1066.21</v>
      </c>
      <c r="C2" s="1949"/>
      <c r="D2" s="1949"/>
      <c r="E2" s="1949"/>
      <c r="F2" s="1949"/>
      <c r="G2" s="1950"/>
      <c r="H2" s="1950"/>
      <c r="I2" s="1950"/>
      <c r="J2" s="1950"/>
      <c r="K2" s="1950"/>
    </row>
    <row r="3" spans="1:11" ht="16.5">
      <c r="A3" s="1840" t="s">
        <v>650</v>
      </c>
      <c r="B3" s="1842">
        <f>项目基本情况!D3</f>
        <v>46090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32318</v>
      </c>
      <c r="C5" s="1840">
        <f ca="1">ROUND(B5*10000/$B$1,0)</f>
        <v>26931</v>
      </c>
      <c r="D5" s="1840">
        <f ca="1">ROUND(B5*10000/$B$2,0)</f>
        <v>303111</v>
      </c>
      <c r="E5" s="1949"/>
      <c r="F5" s="1950"/>
      <c r="G5" s="1950"/>
      <c r="H5" s="1950"/>
      <c r="I5" s="1950"/>
      <c r="J5" s="1950"/>
      <c r="K5" s="1950"/>
    </row>
    <row r="6" spans="1:11" ht="16.5">
      <c r="A6" s="1840" t="s">
        <v>644</v>
      </c>
      <c r="B6" s="1840">
        <f ca="1">SUM(G14:G23)</f>
        <v>26931</v>
      </c>
      <c r="C6" s="1840">
        <f ca="1">ROUND(B6*10000/$B$1,0)</f>
        <v>22442</v>
      </c>
      <c r="D6" s="1840">
        <f ca="1">ROUND(B6*10000/$B$2,0)</f>
        <v>252586</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f ca="1">IF(B8=I14,结果表!H112,ROUND(B8*10000/$B$1,0))</f>
        <v>26649</v>
      </c>
      <c r="D8" s="1840">
        <f>ROUND(B8*10000/$B$2,0)</f>
        <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3242</v>
      </c>
      <c r="D10" s="1840" t="s">
        <v>3243</v>
      </c>
      <c r="E10" s="3623"/>
      <c r="F10" s="2482" t="s">
        <v>3244</v>
      </c>
      <c r="G10" s="3624"/>
      <c r="H10" s="1950"/>
      <c r="I10" s="1950"/>
      <c r="J10" s="1950"/>
      <c r="K10" s="1950"/>
    </row>
    <row r="11" spans="1:11" ht="16.5">
      <c r="A11" s="1840" t="s">
        <v>658</v>
      </c>
      <c r="B11" s="3622"/>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0">
        <f>结果表!B118</f>
        <v>12000.23</v>
      </c>
      <c r="C14" s="3620">
        <f>结果表!C118</f>
        <v>1066.21</v>
      </c>
      <c r="D14" s="3620">
        <f ca="1">结果表!I118</f>
        <v>32318</v>
      </c>
      <c r="E14" s="3620">
        <f ca="1">结果表!H118</f>
        <v>26931</v>
      </c>
      <c r="F14" s="3620">
        <f ca="1">ROUND(D14*10000/C14,0)</f>
        <v>303111</v>
      </c>
      <c r="G14" s="3620">
        <f ca="1">E14</f>
        <v>26931</v>
      </c>
      <c r="H14" s="3620"/>
      <c r="I14" s="3620"/>
      <c r="J14" s="1950"/>
      <c r="K14" s="1950"/>
    </row>
    <row r="15" spans="1:11" ht="16.5">
      <c r="A15" s="1845" t="s">
        <v>637</v>
      </c>
      <c r="B15" s="3621"/>
      <c r="C15" s="3621"/>
      <c r="D15" s="3621"/>
      <c r="E15" s="3620" t="e">
        <f t="shared" ref="E15:E23" si="0">ROUND(D15*10000/B15,0)</f>
        <v>#DIV/0!</v>
      </c>
      <c r="F15" s="3620" t="e">
        <f t="shared" ref="F15:F23" si="1">ROUND(D15*10000/C15,0)</f>
        <v>#DIV/0!</v>
      </c>
      <c r="G15" s="3622"/>
      <c r="H15" s="3622"/>
      <c r="I15" s="3621"/>
      <c r="J15" s="1950"/>
      <c r="K15" s="1950"/>
    </row>
    <row r="16" spans="1:11" ht="16.5">
      <c r="A16" s="1845" t="s">
        <v>636</v>
      </c>
      <c r="B16" s="3621"/>
      <c r="C16" s="3621"/>
      <c r="D16" s="3621"/>
      <c r="E16" s="3620" t="e">
        <f t="shared" si="0"/>
        <v>#DIV/0!</v>
      </c>
      <c r="F16" s="3620" t="e">
        <f t="shared" si="1"/>
        <v>#DIV/0!</v>
      </c>
      <c r="G16" s="3622"/>
      <c r="H16" s="3622"/>
      <c r="I16" s="3621"/>
      <c r="J16" s="1950"/>
      <c r="K16" s="1950"/>
    </row>
    <row r="17" spans="1:11" ht="16.5">
      <c r="A17" s="1845" t="s">
        <v>635</v>
      </c>
      <c r="B17" s="3621"/>
      <c r="C17" s="3621"/>
      <c r="D17" s="3621"/>
      <c r="E17" s="3620" t="e">
        <f t="shared" si="0"/>
        <v>#DIV/0!</v>
      </c>
      <c r="F17" s="3620" t="e">
        <f t="shared" si="1"/>
        <v>#DIV/0!</v>
      </c>
      <c r="G17" s="3622"/>
      <c r="H17" s="3622"/>
      <c r="I17" s="3621"/>
      <c r="J17" s="1950"/>
      <c r="K17" s="1950"/>
    </row>
    <row r="18" spans="1:11" ht="16.5">
      <c r="A18" s="1845" t="s">
        <v>634</v>
      </c>
      <c r="B18" s="3621"/>
      <c r="C18" s="3621"/>
      <c r="D18" s="3621"/>
      <c r="E18" s="3620" t="e">
        <f t="shared" si="0"/>
        <v>#DIV/0!</v>
      </c>
      <c r="F18" s="3620" t="e">
        <f t="shared" si="1"/>
        <v>#DIV/0!</v>
      </c>
      <c r="G18" s="3621"/>
      <c r="H18" s="3621"/>
      <c r="I18" s="3621"/>
      <c r="J18" s="1950"/>
      <c r="K18" s="1950"/>
    </row>
    <row r="19" spans="1:11" ht="16.5">
      <c r="A19" s="1845" t="s">
        <v>633</v>
      </c>
      <c r="B19" s="3621"/>
      <c r="C19" s="3621"/>
      <c r="D19" s="3621"/>
      <c r="E19" s="3620" t="e">
        <f t="shared" si="0"/>
        <v>#DIV/0!</v>
      </c>
      <c r="F19" s="3620" t="e">
        <f t="shared" si="1"/>
        <v>#DIV/0!</v>
      </c>
      <c r="G19" s="3621"/>
      <c r="H19" s="3621"/>
      <c r="I19" s="3621"/>
      <c r="J19" s="1950"/>
      <c r="K19" s="1950"/>
    </row>
    <row r="20" spans="1:11" ht="16.5">
      <c r="A20" s="1845" t="s">
        <v>632</v>
      </c>
      <c r="B20" s="3621"/>
      <c r="C20" s="3621"/>
      <c r="D20" s="3621"/>
      <c r="E20" s="3620" t="e">
        <f t="shared" si="0"/>
        <v>#DIV/0!</v>
      </c>
      <c r="F20" s="3620" t="e">
        <f t="shared" si="1"/>
        <v>#DIV/0!</v>
      </c>
      <c r="G20" s="3621"/>
      <c r="H20" s="3621"/>
      <c r="I20" s="3621"/>
      <c r="J20" s="1950"/>
      <c r="K20" s="1950"/>
    </row>
    <row r="21" spans="1:11" ht="16.5">
      <c r="A21" s="1845" t="s">
        <v>631</v>
      </c>
      <c r="B21" s="3621"/>
      <c r="C21" s="3621"/>
      <c r="D21" s="3621"/>
      <c r="E21" s="3620" t="e">
        <f t="shared" si="0"/>
        <v>#DIV/0!</v>
      </c>
      <c r="F21" s="3620" t="e">
        <f t="shared" si="1"/>
        <v>#DIV/0!</v>
      </c>
      <c r="G21" s="3621"/>
      <c r="H21" s="3621"/>
      <c r="I21" s="3621"/>
      <c r="J21" s="1950"/>
      <c r="K21" s="1950"/>
    </row>
    <row r="22" spans="1:11" ht="16.5">
      <c r="A22" s="1845" t="s">
        <v>630</v>
      </c>
      <c r="B22" s="3621"/>
      <c r="C22" s="3621"/>
      <c r="D22" s="3621"/>
      <c r="E22" s="3620" t="e">
        <f t="shared" si="0"/>
        <v>#DIV/0!</v>
      </c>
      <c r="F22" s="3620" t="e">
        <f t="shared" si="1"/>
        <v>#DIV/0!</v>
      </c>
      <c r="G22" s="3621"/>
      <c r="H22" s="3621"/>
      <c r="I22" s="3621"/>
      <c r="J22" s="1950"/>
      <c r="K22" s="1950"/>
    </row>
    <row r="23" spans="1:11" ht="16.5">
      <c r="A23" s="1845" t="s">
        <v>629</v>
      </c>
      <c r="B23" s="3621"/>
      <c r="C23" s="3621"/>
      <c r="D23" s="3621"/>
      <c r="E23" s="3622" t="e">
        <f t="shared" si="0"/>
        <v>#DIV/0!</v>
      </c>
      <c r="F23" s="3622" t="e">
        <f t="shared" si="1"/>
        <v>#DIV/0!</v>
      </c>
      <c r="G23" s="3621"/>
      <c r="H23" s="3621"/>
      <c r="I23" s="3621"/>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36" sqref="H36"/>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19</v>
      </c>
      <c r="D1" s="464"/>
      <c r="E1" s="464"/>
      <c r="F1" s="1252" t="s">
        <v>1241</v>
      </c>
      <c r="G1" s="1097" t="s">
        <v>4102</v>
      </c>
      <c r="H1" s="1252" t="str">
        <f>IF(G1="现房","——","估价对象范围")</f>
        <v>——</v>
      </c>
      <c r="I1" s="1253"/>
    </row>
    <row r="2" spans="1:12" ht="21.75" customHeight="1" thickBot="1">
      <c r="A2" s="4436" t="str">
        <f>项目基本情况!S2</f>
        <v>北京市东城区朝阳门北大街8号房地产</v>
      </c>
      <c r="B2" s="4437"/>
      <c r="C2" s="4437"/>
      <c r="D2" s="4437"/>
      <c r="E2" s="4437"/>
      <c r="F2" s="4437"/>
      <c r="G2" s="4437"/>
      <c r="H2" s="4437"/>
      <c r="I2" s="4438"/>
    </row>
    <row r="3" spans="1:12" ht="13">
      <c r="A3" s="4440" t="s">
        <v>1242</v>
      </c>
      <c r="B3" s="4441"/>
      <c r="C3" s="4441"/>
      <c r="D3" s="4441"/>
      <c r="E3" s="4441"/>
      <c r="F3" s="4441"/>
      <c r="G3" s="4441"/>
      <c r="H3" s="4441"/>
      <c r="I3" s="4441"/>
    </row>
    <row r="4" spans="1:12" ht="14">
      <c r="A4" s="1255" t="s">
        <v>1243</v>
      </c>
      <c r="B4" s="1256" t="s">
        <v>1244</v>
      </c>
      <c r="C4" s="3543" t="s">
        <v>4347</v>
      </c>
      <c r="D4" s="3543" t="s">
        <v>4112</v>
      </c>
      <c r="E4" s="4445" t="s">
        <v>1245</v>
      </c>
      <c r="F4" s="4446"/>
      <c r="G4" s="4446"/>
      <c r="H4" s="4446"/>
      <c r="I4" s="444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428" t="s">
        <v>1246</v>
      </c>
      <c r="B5" s="4408">
        <v>25</v>
      </c>
      <c r="C5" s="4442"/>
      <c r="D5" s="4439"/>
      <c r="E5" s="49" t="s">
        <v>1247</v>
      </c>
      <c r="F5" s="1257"/>
      <c r="G5" s="1257"/>
      <c r="H5" s="1257"/>
      <c r="I5" s="924"/>
    </row>
    <row r="6" spans="1:12" ht="13">
      <c r="A6" s="4428"/>
      <c r="B6" s="4408"/>
      <c r="C6" s="4444"/>
      <c r="D6" s="4439"/>
      <c r="E6" s="49" t="s">
        <v>1248</v>
      </c>
      <c r="F6" s="1257"/>
      <c r="G6" s="1257"/>
      <c r="H6" s="1257"/>
      <c r="I6" s="924"/>
    </row>
    <row r="7" spans="1:12" ht="13">
      <c r="A7" s="4428"/>
      <c r="B7" s="4408"/>
      <c r="C7" s="4443"/>
      <c r="D7" s="4439"/>
      <c r="E7" s="49" t="s">
        <v>1249</v>
      </c>
      <c r="F7" s="1257"/>
      <c r="G7" s="1257"/>
      <c r="H7" s="1257"/>
      <c r="I7" s="924"/>
    </row>
    <row r="8" spans="1:12" ht="13">
      <c r="A8" s="4428" t="s">
        <v>1250</v>
      </c>
      <c r="B8" s="4408">
        <v>15</v>
      </c>
      <c r="C8" s="4442"/>
      <c r="D8" s="4439"/>
      <c r="E8" s="49" t="s">
        <v>1251</v>
      </c>
      <c r="F8" s="1257"/>
      <c r="G8" s="1257"/>
      <c r="H8" s="1257"/>
      <c r="I8" s="924"/>
    </row>
    <row r="9" spans="1:12" ht="13">
      <c r="A9" s="4428"/>
      <c r="B9" s="4408"/>
      <c r="C9" s="4443"/>
      <c r="D9" s="4439"/>
      <c r="E9" s="49" t="s">
        <v>1252</v>
      </c>
      <c r="F9" s="1257"/>
      <c r="G9" s="1257"/>
      <c r="H9" s="1257"/>
      <c r="I9" s="924"/>
    </row>
    <row r="10" spans="1:12" ht="13">
      <c r="A10" s="4428" t="s">
        <v>1253</v>
      </c>
      <c r="B10" s="4408">
        <v>15</v>
      </c>
      <c r="C10" s="4442"/>
      <c r="D10" s="4439"/>
      <c r="E10" s="49" t="s">
        <v>1254</v>
      </c>
      <c r="F10" s="1257"/>
      <c r="G10" s="1257"/>
      <c r="H10" s="1257"/>
      <c r="I10" s="924"/>
    </row>
    <row r="11" spans="1:12" ht="13">
      <c r="A11" s="4428"/>
      <c r="B11" s="4408"/>
      <c r="C11" s="4443"/>
      <c r="D11" s="4439"/>
      <c r="E11" s="49" t="s">
        <v>1255</v>
      </c>
      <c r="F11" s="1257"/>
      <c r="G11" s="1257"/>
      <c r="H11" s="1257"/>
      <c r="I11" s="924"/>
    </row>
    <row r="12" spans="1:12" ht="13">
      <c r="A12" s="4428" t="s">
        <v>1256</v>
      </c>
      <c r="B12" s="4408">
        <v>15</v>
      </c>
      <c r="C12" s="4442"/>
      <c r="D12" s="4439"/>
      <c r="E12" s="49" t="s">
        <v>1257</v>
      </c>
      <c r="F12" s="1257"/>
      <c r="G12" s="1257"/>
      <c r="H12" s="1257"/>
      <c r="I12" s="924"/>
    </row>
    <row r="13" spans="1:12" ht="13">
      <c r="A13" s="4428"/>
      <c r="B13" s="4408"/>
      <c r="C13" s="4443"/>
      <c r="D13" s="4439"/>
      <c r="E13" s="49" t="s">
        <v>1258</v>
      </c>
      <c r="F13" s="1257"/>
      <c r="G13" s="1257"/>
      <c r="H13" s="1257"/>
      <c r="I13" s="924"/>
    </row>
    <row r="14" spans="1:12" ht="13">
      <c r="A14" s="4428" t="s">
        <v>1259</v>
      </c>
      <c r="B14" s="4408">
        <v>30</v>
      </c>
      <c r="C14" s="4442">
        <v>6</v>
      </c>
      <c r="D14" s="4439">
        <v>4</v>
      </c>
      <c r="E14" s="49" t="s">
        <v>1260</v>
      </c>
      <c r="F14" s="1257"/>
      <c r="G14" s="1257"/>
      <c r="H14" s="1257"/>
      <c r="I14" s="924"/>
    </row>
    <row r="15" spans="1:12" ht="13">
      <c r="A15" s="4428"/>
      <c r="B15" s="4408"/>
      <c r="C15" s="4444"/>
      <c r="D15" s="4439"/>
      <c r="E15" s="49" t="s">
        <v>1261</v>
      </c>
      <c r="F15" s="1257"/>
      <c r="G15" s="1257"/>
      <c r="H15" s="1257"/>
      <c r="I15" s="924"/>
    </row>
    <row r="16" spans="1:12" ht="13">
      <c r="A16" s="4428"/>
      <c r="B16" s="4408"/>
      <c r="C16" s="4443"/>
      <c r="D16" s="4439"/>
      <c r="E16" s="49" t="s">
        <v>1262</v>
      </c>
      <c r="F16" s="1257"/>
      <c r="G16" s="1257"/>
      <c r="H16" s="1257"/>
      <c r="I16" s="924"/>
    </row>
    <row r="17" spans="1:36" ht="14">
      <c r="A17" s="1258" t="s">
        <v>1263</v>
      </c>
      <c r="B17" s="3542"/>
      <c r="C17" s="3625">
        <f>SUM(C5:C16)</f>
        <v>6</v>
      </c>
      <c r="D17" s="3625">
        <f>SUM(D5:D16)</f>
        <v>4</v>
      </c>
      <c r="E17" s="47"/>
      <c r="F17" s="47"/>
      <c r="G17" s="47"/>
      <c r="H17" s="47"/>
      <c r="I17" s="47"/>
      <c r="K17" s="186"/>
      <c r="L17" s="186" t="s">
        <v>1264</v>
      </c>
      <c r="M17" s="186" t="s">
        <v>1265</v>
      </c>
    </row>
    <row r="18" spans="1:36" ht="31.9" customHeight="1" thickBot="1">
      <c r="A18" s="1259" t="s">
        <v>1266</v>
      </c>
      <c r="B18" s="1182"/>
      <c r="C18" s="3626">
        <f>ROUND(C17/SUM(C17:D17),2)</f>
        <v>0.6</v>
      </c>
      <c r="D18" s="3626">
        <f>1-C18</f>
        <v>0.4</v>
      </c>
      <c r="E18" s="4467" t="s">
        <v>2035</v>
      </c>
      <c r="F18" s="4468"/>
      <c r="G18" s="4468"/>
      <c r="H18" s="4468"/>
      <c r="I18" s="4468"/>
      <c r="K18" s="186" t="s">
        <v>1267</v>
      </c>
      <c r="L18" s="2665">
        <f>IF(C1="",'数据-汇总表'!E3,SUMIF(项目类型,C1,'数据-汇总表'!E17:E26)+SUMIF(项目类型,C1,'数据-汇总表'!I17:I26))</f>
        <v>12000.23</v>
      </c>
      <c r="M18" s="2665">
        <f>IF(C1="",'数据-汇总表'!E3,SUMIF(项目类型,C1,'数据-汇总表'!E17:E26))</f>
        <v>12000.23</v>
      </c>
    </row>
    <row r="19" spans="1:36" ht="14">
      <c r="A19" s="1260" t="s">
        <v>1268</v>
      </c>
      <c r="B19" s="1261" t="s">
        <v>1269</v>
      </c>
      <c r="C19" s="3627">
        <f ca="1">SUMIF(INDIRECT("'"&amp;C4&amp;"'"&amp;"!A:A"),结果表!B19,INDIRECT("'"&amp;C4&amp;"'"&amp;"!B:B"))</f>
        <v>45068</v>
      </c>
      <c r="D19" s="3628">
        <f ca="1">SUMIF(INDIRECT("'"&amp;D4&amp;"'"&amp;"!A:A"),结果表!B19,INDIRECT("'"&amp;D4&amp;"'"&amp;"!B:B"))</f>
        <v>13192</v>
      </c>
      <c r="E19" s="1260" t="s">
        <v>1270</v>
      </c>
      <c r="F19" s="1261" t="s">
        <v>1269</v>
      </c>
      <c r="G19" s="3633">
        <f ca="1">ROUND(C19*$C$18+D19*$D$18,0)</f>
        <v>32318</v>
      </c>
      <c r="H19" s="1262" t="s">
        <v>1271</v>
      </c>
      <c r="I19" s="47">
        <f ca="1">ROUND(C19*$C$18+D19*$D$18,4)</f>
        <v>32317.599999999999</v>
      </c>
      <c r="K19" s="186" t="s">
        <v>1272</v>
      </c>
      <c r="L19" s="2665">
        <f>IF(C1="",'数据-汇总表'!D3,SUMIF(项目类型,C1,'数据-汇总表'!D17:D26)+SUMIF(项目类型,C1,'数据-汇总表'!H17:H27))</f>
        <v>1066.21</v>
      </c>
      <c r="M19" s="2665">
        <f>IF(C1="",'数据-汇总表'!D3,SUMIF(项目类型,C1,'数据-汇总表'!D17:D26))</f>
        <v>1066.21</v>
      </c>
    </row>
    <row r="20" spans="1:36" ht="14">
      <c r="A20" s="1263"/>
      <c r="B20" s="25" t="s">
        <v>1273</v>
      </c>
      <c r="C20" s="3629">
        <f ca="1">SUMIF(INDIRECT("'"&amp;C4&amp;"'"&amp;"!A:A"),结果表!B20,INDIRECT("'"&amp;C4&amp;"'"&amp;"!B:B"))</f>
        <v>40936</v>
      </c>
      <c r="D20" s="3630">
        <f ca="1">SUMIF(INDIRECT("'"&amp;D4&amp;"'"&amp;"!A:A"),结果表!B20,INDIRECT("'"&amp;D4&amp;"'"&amp;"!B:B"))</f>
        <v>10993</v>
      </c>
      <c r="E20" s="1263"/>
      <c r="F20" s="25" t="s">
        <v>1273</v>
      </c>
      <c r="G20" s="3634">
        <f ca="1">ROUND(C20*$C$18+D20*$D$18,0)</f>
        <v>28959</v>
      </c>
      <c r="H20" s="527" t="s">
        <v>1274</v>
      </c>
      <c r="I20" s="47"/>
    </row>
    <row r="21" spans="1:36" ht="15" customHeight="1" thickBot="1">
      <c r="A21" s="312"/>
      <c r="B21" s="3384" t="s">
        <v>3628</v>
      </c>
      <c r="C21" s="3631">
        <f ca="1">SUMIF(INDIRECT("'"&amp;C4&amp;"'"&amp;"!A:A"),结果表!B21,INDIRECT("'"&amp;C4&amp;"'"&amp;"!B:B"))</f>
        <v>0</v>
      </c>
      <c r="D21" s="3632">
        <f ca="1">SUMIF(INDIRECT("'"&amp;D4&amp;"'"&amp;"!A:A"),结果表!B21,INDIRECT("'"&amp;D4&amp;"'"&amp;"!B:B"))</f>
        <v>0</v>
      </c>
      <c r="E21" s="1263"/>
      <c r="F21" s="26" t="s">
        <v>1275</v>
      </c>
      <c r="G21" s="3634">
        <f ca="1">ROUND(C21*$C$18+D21*$D$18,0)</f>
        <v>0</v>
      </c>
      <c r="H21" s="527" t="s">
        <v>1274</v>
      </c>
      <c r="I21" s="47"/>
    </row>
    <row r="22" spans="1:36" ht="14.5" thickBot="1">
      <c r="A22" s="1200" t="s">
        <v>1276</v>
      </c>
      <c r="B22" s="1264"/>
      <c r="C22" s="2588"/>
      <c r="D22" s="3882">
        <f ca="1">IF(C19&lt;D19,D19/C19-1,C19/D19-1)</f>
        <v>2.4163129169193449</v>
      </c>
      <c r="E22" s="3375"/>
      <c r="F22" s="3377"/>
      <c r="G22" s="3635">
        <f ca="1">ROUND(G19/('数据-汇总表'!D3/666.67),0)</f>
        <v>20208</v>
      </c>
      <c r="H22" s="3376" t="s">
        <v>3626</v>
      </c>
      <c r="I22" s="47"/>
    </row>
    <row r="23" spans="1:36" ht="13" thickBot="1">
      <c r="A23" s="464"/>
      <c r="B23" s="464"/>
      <c r="C23" s="464"/>
      <c r="D23" s="464"/>
      <c r="E23" s="47"/>
      <c r="F23" s="47"/>
      <c r="G23" s="47"/>
      <c r="H23" s="47"/>
      <c r="I23" s="47"/>
    </row>
    <row r="24" spans="1:36" ht="14">
      <c r="A24" s="4415" t="s">
        <v>1277</v>
      </c>
      <c r="B24" s="1261" t="s">
        <v>1269</v>
      </c>
      <c r="C24" s="3633">
        <f>IF(B30=0,0,D30)</f>
        <v>0</v>
      </c>
      <c r="D24" s="3636"/>
      <c r="E24" s="47"/>
      <c r="F24" s="47" t="s">
        <v>4348</v>
      </c>
      <c r="G24" s="47">
        <v>35951</v>
      </c>
      <c r="H24" s="4287" t="s">
        <v>4349</v>
      </c>
      <c r="I24" s="4287" t="s">
        <v>4353</v>
      </c>
    </row>
    <row r="25" spans="1:36" ht="14">
      <c r="A25" s="4416"/>
      <c r="B25" s="3385" t="s">
        <v>3629</v>
      </c>
      <c r="C25" s="3637">
        <f>IF(B30=0,0,C30)</f>
        <v>0</v>
      </c>
      <c r="D25" s="3638"/>
      <c r="E25" s="47"/>
      <c r="F25" s="4288" t="s">
        <v>4352</v>
      </c>
      <c r="G25" s="47">
        <v>43142</v>
      </c>
      <c r="H25" s="4288" t="s">
        <v>4350</v>
      </c>
      <c r="I25" s="47"/>
    </row>
    <row r="26" spans="1:36" ht="13.5" customHeight="1">
      <c r="A26" s="1265" t="s">
        <v>1278</v>
      </c>
      <c r="B26" s="53" t="s">
        <v>1279</v>
      </c>
      <c r="C26" s="53" t="s">
        <v>1280</v>
      </c>
      <c r="D26" s="54" t="s">
        <v>1281</v>
      </c>
      <c r="E26" s="47"/>
      <c r="F26" s="47"/>
      <c r="G26" s="47"/>
      <c r="H26" s="47"/>
      <c r="I26" s="47"/>
    </row>
    <row r="27" spans="1:36" ht="14">
      <c r="A27" s="1265"/>
      <c r="B27" s="3639">
        <v>0</v>
      </c>
      <c r="C27" s="3639">
        <v>0</v>
      </c>
      <c r="D27" s="3640">
        <f>ROUND(C27*B27/10000,0)</f>
        <v>0</v>
      </c>
      <c r="E27" s="47"/>
      <c r="F27" s="47"/>
      <c r="G27" s="47"/>
      <c r="H27" s="47"/>
      <c r="I27" s="47"/>
    </row>
    <row r="28" spans="1:36" ht="14">
      <c r="A28" s="1265"/>
      <c r="B28" s="3639"/>
      <c r="C28" s="3639"/>
      <c r="D28" s="3640"/>
      <c r="E28" s="47"/>
      <c r="F28" s="47"/>
      <c r="G28" s="47"/>
      <c r="H28" s="47"/>
      <c r="I28" s="47"/>
    </row>
    <row r="29" spans="1:36" ht="14">
      <c r="A29" s="1265"/>
      <c r="B29" s="3639"/>
      <c r="C29" s="3639"/>
      <c r="D29" s="3640"/>
      <c r="E29" s="47"/>
      <c r="F29" s="47"/>
      <c r="G29" s="47"/>
      <c r="H29" s="47"/>
      <c r="I29" s="47"/>
    </row>
    <row r="30" spans="1:36" ht="14.5" thickBot="1">
      <c r="A30" s="53" t="s">
        <v>1282</v>
      </c>
      <c r="B30" s="3639"/>
      <c r="C30" s="3639"/>
      <c r="D30" s="3639"/>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1">
        <f ca="1">IF(D32="总价",G19-C24,G20-C25)</f>
        <v>32318</v>
      </c>
      <c r="D32" s="1267" t="s">
        <v>4351</v>
      </c>
      <c r="E32" s="47"/>
      <c r="F32" s="47"/>
      <c r="G32" s="47"/>
      <c r="H32" s="47"/>
      <c r="I32" s="47"/>
    </row>
    <row r="33" spans="1:19" ht="14">
      <c r="A33" s="516" t="s">
        <v>1284</v>
      </c>
      <c r="B33" s="49"/>
      <c r="C33" s="1268" t="s">
        <v>4354</v>
      </c>
      <c r="D33" s="1269" t="s">
        <v>4112</v>
      </c>
      <c r="E33" s="1270" t="s">
        <v>1285</v>
      </c>
      <c r="F33" s="1271" t="str">
        <f>IF(D32="楼面单价","取值（单价）","取值（总价）")</f>
        <v>取值（总价）</v>
      </c>
      <c r="G33" s="47"/>
      <c r="H33" s="47"/>
      <c r="I33" s="47"/>
    </row>
    <row r="34" spans="1:19" ht="14">
      <c r="A34" s="1272"/>
      <c r="B34" s="1273" t="s">
        <v>1286</v>
      </c>
      <c r="C34" s="3642">
        <f ca="1">IF(C33="自定义",F34,C32-C35)</f>
        <v>19262</v>
      </c>
      <c r="D34" s="3883">
        <f ca="1">IF(C33="自定义",ROUND(C34/C32,3),IF(C33="收益比率",SUMIF(INDIRECT("'"&amp;D33&amp;"'"&amp;"!b:b"),"土地收益比率",INDIRECT("'"&amp;D33&amp;"'"&amp;"!c:c")),SUMIF(INDIRECT("'"&amp;D33&amp;"'"&amp;"!b:b"),"土地成本比率",INDIRECT("'"&amp;D33&amp;"'"&amp;"!c:c"))))</f>
        <v>0.59599999999999997</v>
      </c>
      <c r="E34" s="1274" t="s">
        <v>1287</v>
      </c>
      <c r="F34" s="3644"/>
      <c r="G34" s="47"/>
      <c r="H34" s="47"/>
      <c r="I34" s="47"/>
    </row>
    <row r="35" spans="1:19" ht="14.5" thickBot="1">
      <c r="A35" s="1275"/>
      <c r="B35" s="1276" t="s">
        <v>1288</v>
      </c>
      <c r="C35" s="3643">
        <f ca="1">IF(C33="自定义",F35,ROUND(C32*D35,0))</f>
        <v>13056</v>
      </c>
      <c r="D35" s="3884">
        <f ca="1">IF(C33="自定义",ROUND(C35/C32,3),IF(C33="收益比率",SUMIF(INDIRECT("'"&amp;D33&amp;"'"&amp;"!b:b"),"建筑物收益比率",INDIRECT("'"&amp;D33&amp;"'"&amp;"!c:c")),SUMIF(INDIRECT("'"&amp;D33&amp;"'"&amp;"!b:b"),"建筑物成本比率",INDIRECT("'"&amp;D33&amp;"'"&amp;"!c:c"))))</f>
        <v>0.40400000000000003</v>
      </c>
      <c r="E35" s="1277" t="s">
        <v>1289</v>
      </c>
      <c r="F35" s="3645"/>
      <c r="G35" s="47"/>
      <c r="H35" s="47"/>
      <c r="I35" s="47"/>
    </row>
    <row r="36" spans="1:19" ht="14.5" thickBot="1">
      <c r="A36" s="4431" t="s">
        <v>1290</v>
      </c>
      <c r="B36" s="1278" t="s">
        <v>1291</v>
      </c>
      <c r="C36" s="3646"/>
      <c r="D36" s="1279"/>
      <c r="E36" s="1203"/>
      <c r="F36" s="1280"/>
      <c r="G36" s="47"/>
      <c r="H36" s="47"/>
      <c r="I36" s="47"/>
    </row>
    <row r="37" spans="1:19" ht="14.5" thickBot="1">
      <c r="A37" s="4432"/>
      <c r="B37" s="1191" t="s">
        <v>1292</v>
      </c>
      <c r="C37" s="3647"/>
      <c r="D37" s="763"/>
      <c r="E37" s="763"/>
      <c r="F37" s="1280"/>
      <c r="G37" s="47"/>
      <c r="H37" s="47"/>
      <c r="I37" s="47"/>
    </row>
    <row r="38" spans="1:19" ht="14.5" thickBot="1">
      <c r="A38" s="4433"/>
      <c r="B38" s="1281" t="s">
        <v>1293</v>
      </c>
      <c r="C38" s="3648"/>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9"/>
      <c r="C40" s="3650"/>
      <c r="D40" s="3650"/>
      <c r="E40" s="3644"/>
      <c r="F40" s="1280"/>
      <c r="G40" s="47"/>
      <c r="H40" s="47"/>
      <c r="I40" s="47"/>
    </row>
    <row r="41" spans="1:19" ht="14">
      <c r="A41" s="1286" t="s">
        <v>1301</v>
      </c>
      <c r="B41" s="3649"/>
      <c r="C41" s="3650"/>
      <c r="D41" s="3650"/>
      <c r="E41" s="3644"/>
      <c r="F41" s="1280"/>
      <c r="G41" s="47"/>
      <c r="H41" s="47"/>
      <c r="I41" s="47"/>
    </row>
    <row r="42" spans="1:19" ht="14.5" thickBot="1">
      <c r="A42" s="1287"/>
      <c r="B42" s="3651"/>
      <c r="C42" s="3652"/>
      <c r="D42" s="3652"/>
      <c r="E42" s="3645"/>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12" t="s">
        <v>1304</v>
      </c>
      <c r="B45" s="4413"/>
      <c r="C45" s="4414"/>
      <c r="D45" s="56">
        <f ca="1">ROUND(H101*F45,0)</f>
        <v>32318</v>
      </c>
      <c r="E45" s="57" t="s">
        <v>1305</v>
      </c>
      <c r="F45" s="58">
        <v>1</v>
      </c>
      <c r="G45" s="59" t="s">
        <v>1306</v>
      </c>
      <c r="H45" s="47"/>
      <c r="I45" s="47"/>
      <c r="J45" s="4422" t="s">
        <v>1307</v>
      </c>
      <c r="K45" s="4422"/>
      <c r="L45" s="4422"/>
      <c r="M45" s="4422"/>
      <c r="N45" s="4422"/>
      <c r="O45" s="4422"/>
    </row>
    <row r="46" spans="1:19" ht="14.25" customHeight="1">
      <c r="A46" s="4409" t="s">
        <v>1308</v>
      </c>
      <c r="B46" s="4410"/>
      <c r="C46" s="4410"/>
      <c r="D46" s="4410"/>
      <c r="E46" s="4410"/>
      <c r="F46" s="4410"/>
      <c r="G46" s="4411"/>
      <c r="H46" s="1294"/>
      <c r="I46" s="60"/>
      <c r="J46" s="1848">
        <v>1</v>
      </c>
      <c r="K46" s="4423" t="s">
        <v>1309</v>
      </c>
      <c r="L46" s="4423"/>
      <c r="M46" s="4424"/>
      <c r="N46" s="4424"/>
      <c r="O46" s="4424"/>
    </row>
    <row r="47" spans="1:19" ht="12" customHeight="1">
      <c r="A47" s="61" t="s">
        <v>1310</v>
      </c>
      <c r="B47" s="62"/>
      <c r="C47" s="63"/>
      <c r="D47" s="724" t="s">
        <v>1311</v>
      </c>
      <c r="E47" s="186" t="s">
        <v>1312</v>
      </c>
      <c r="F47" s="64" t="s">
        <v>1313</v>
      </c>
      <c r="G47" s="1863" t="s">
        <v>1314</v>
      </c>
      <c r="H47" s="1864"/>
      <c r="I47" s="60"/>
      <c r="J47" s="1848">
        <v>2</v>
      </c>
      <c r="K47" s="4423" t="s">
        <v>1315</v>
      </c>
      <c r="L47" s="4423"/>
      <c r="M47" s="4425">
        <f>'数据-取费表'!B2</f>
        <v>46090</v>
      </c>
      <c r="N47" s="4425"/>
      <c r="O47" s="4425"/>
    </row>
    <row r="48" spans="1:19" ht="26">
      <c r="A48" s="4434" t="s">
        <v>1316</v>
      </c>
      <c r="B48" s="4435"/>
      <c r="C48" s="4435"/>
      <c r="D48" s="3653">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23" t="s">
        <v>1318</v>
      </c>
      <c r="L48" s="4423"/>
      <c r="M48" s="4426">
        <f ca="1">H101</f>
        <v>32318</v>
      </c>
      <c r="N48" s="4426"/>
      <c r="O48" s="4426"/>
      <c r="R48" s="3401" t="s">
        <v>3643</v>
      </c>
      <c r="S48" s="3402"/>
    </row>
    <row r="49" spans="1:35" ht="25.5" customHeight="1">
      <c r="A49" s="3536" t="s">
        <v>1319</v>
      </c>
      <c r="B49" s="4407" t="s">
        <v>1320</v>
      </c>
      <c r="C49" s="4407"/>
      <c r="D49" s="3654">
        <v>0</v>
      </c>
      <c r="E49" s="207" t="s">
        <v>1321</v>
      </c>
      <c r="F49" s="3530" t="s">
        <v>26</v>
      </c>
      <c r="G49" s="4477"/>
      <c r="H49" s="3396" t="s">
        <v>2038</v>
      </c>
      <c r="I49" s="3397"/>
      <c r="J49" s="1848">
        <v>4</v>
      </c>
      <c r="K49" s="4423" t="str">
        <f>IF(项目基本情况!E8="房地产抵押价值","房地产抵押价值","抵押担保权已注销时的房地产抵押价值")</f>
        <v>房地产抵押价值</v>
      </c>
      <c r="L49" s="4423"/>
      <c r="M49" s="4426">
        <f ca="1">IF(项目基本情况!E8="房地产抵押价值",H107,H109)</f>
        <v>32318</v>
      </c>
      <c r="N49" s="4426"/>
      <c r="O49" s="4426"/>
      <c r="R49" s="3403" t="s">
        <v>3644</v>
      </c>
      <c r="S49" s="3401" t="s">
        <v>3645</v>
      </c>
    </row>
    <row r="50" spans="1:35" ht="25.5" customHeight="1">
      <c r="A50" s="3537"/>
      <c r="B50" s="4407" t="s">
        <v>1322</v>
      </c>
      <c r="C50" s="4407"/>
      <c r="D50" s="3655"/>
      <c r="E50" s="214"/>
      <c r="F50" s="3530"/>
      <c r="G50" s="4478"/>
      <c r="H50" s="1302" t="s">
        <v>2039</v>
      </c>
      <c r="I50" s="3397"/>
      <c r="J50" s="4422" t="s">
        <v>1323</v>
      </c>
      <c r="K50" s="4422"/>
      <c r="L50" s="4422"/>
      <c r="M50" s="4422"/>
      <c r="N50" s="4422"/>
      <c r="O50" s="4422"/>
      <c r="R50" s="3403" t="s">
        <v>3646</v>
      </c>
      <c r="S50" s="3401" t="s">
        <v>3647</v>
      </c>
    </row>
    <row r="51" spans="1:35" ht="20.5" customHeight="1">
      <c r="A51" s="3538"/>
      <c r="B51" s="4407" t="s">
        <v>1324</v>
      </c>
      <c r="C51" s="4407"/>
      <c r="D51" s="709"/>
      <c r="E51" s="210"/>
      <c r="F51" s="3530"/>
      <c r="G51" s="4479"/>
      <c r="H51" s="1302" t="s">
        <v>2040</v>
      </c>
      <c r="I51" s="3397"/>
      <c r="J51" s="1849" t="s">
        <v>1325</v>
      </c>
      <c r="K51" s="4423" t="s">
        <v>1326</v>
      </c>
      <c r="L51" s="4423"/>
      <c r="M51" s="1849" t="s">
        <v>1327</v>
      </c>
      <c r="N51" s="1849" t="s">
        <v>1328</v>
      </c>
      <c r="O51" s="1849" t="s">
        <v>1329</v>
      </c>
      <c r="R51" s="3403" t="s">
        <v>3648</v>
      </c>
      <c r="S51" s="3402" t="s">
        <v>3649</v>
      </c>
    </row>
    <row r="52" spans="1:35" ht="24" customHeight="1">
      <c r="A52" s="1700" t="s">
        <v>1330</v>
      </c>
      <c r="B52" s="4407" t="s">
        <v>1331</v>
      </c>
      <c r="C52" s="4407"/>
      <c r="D52" s="709">
        <f ca="1">ROUND(D45*F52/(1+F52),0)</f>
        <v>941</v>
      </c>
      <c r="E52" s="899" t="s">
        <v>1332</v>
      </c>
      <c r="F52" s="1867">
        <v>0.03</v>
      </c>
      <c r="G52" s="894" t="s">
        <v>3690</v>
      </c>
      <c r="H52" s="1861"/>
      <c r="I52" s="1295"/>
      <c r="J52" s="1848">
        <v>1</v>
      </c>
      <c r="K52" s="4427" t="s">
        <v>1333</v>
      </c>
      <c r="L52" s="4427"/>
      <c r="M52" s="3657">
        <f>IF(D48&lt;=0,0,D48)</f>
        <v>0</v>
      </c>
      <c r="N52" s="1848" t="str">
        <f>E48</f>
        <v>销售额×税（费）率</v>
      </c>
      <c r="O52" s="3564">
        <f>F48</f>
        <v>0</v>
      </c>
      <c r="R52" s="3401" t="s">
        <v>3650</v>
      </c>
      <c r="S52" s="3401" t="s">
        <v>3654</v>
      </c>
    </row>
    <row r="53" spans="1:35" ht="12" customHeight="1">
      <c r="A53" s="1700" t="s">
        <v>1334</v>
      </c>
      <c r="B53" s="4429" t="s">
        <v>2195</v>
      </c>
      <c r="C53" s="4430"/>
      <c r="D53" s="709">
        <f ca="1">IF(G53="2016年5月1日之前项目",ROUND(D45*F53/(1+F53),0),H63)</f>
        <v>2668</v>
      </c>
      <c r="E53" s="899" t="str">
        <f>IF(G53="2016年5月1日之前项目","全额计税","进销项计算")</f>
        <v>进销项计算</v>
      </c>
      <c r="F53" s="1867">
        <f>IF(G53="2016年5月1日之前项目",5%,9%)</f>
        <v>0.09</v>
      </c>
      <c r="G53" s="3618"/>
      <c r="H53" s="1861"/>
      <c r="I53" s="1295"/>
      <c r="J53" s="1848">
        <v>2</v>
      </c>
      <c r="K53" s="4427" t="s">
        <v>1335</v>
      </c>
      <c r="L53" s="4427"/>
      <c r="M53" s="3657">
        <f t="shared" ref="M53:O54" ca="1" si="0">D55</f>
        <v>16</v>
      </c>
      <c r="N53" s="1848" t="str">
        <f t="shared" si="0"/>
        <v>销售额×税（费）率</v>
      </c>
      <c r="O53" s="3564" t="str">
        <f t="shared" si="0"/>
        <v>免征</v>
      </c>
      <c r="R53" s="3401" t="s">
        <v>3651</v>
      </c>
      <c r="S53" s="3402" t="s">
        <v>3658</v>
      </c>
    </row>
    <row r="54" spans="1:35" ht="12" customHeight="1">
      <c r="A54" s="1700" t="s">
        <v>1336</v>
      </c>
      <c r="B54" s="4429" t="s">
        <v>2196</v>
      </c>
      <c r="C54" s="4430"/>
      <c r="D54" s="709">
        <f ca="1">IF(G54="2016年5月1日之前项目",C68,H63)</f>
        <v>2668</v>
      </c>
      <c r="E54" s="3550" t="str">
        <f>IF(G54="2016年5月1日之前项目","差额计税","进销项计算")</f>
        <v>进销项计算</v>
      </c>
      <c r="F54" s="1867">
        <f>IF(G54="2016年5月1日之前项目",5%,9%)</f>
        <v>0.09</v>
      </c>
      <c r="G54" s="3618"/>
      <c r="H54" s="1869"/>
      <c r="I54" s="1295"/>
      <c r="J54" s="1848">
        <v>3</v>
      </c>
      <c r="K54" s="4427" t="s">
        <v>1337</v>
      </c>
      <c r="L54" s="4427"/>
      <c r="M54" s="3657" t="e">
        <f t="shared" ca="1" si="0"/>
        <v>#VALUE!</v>
      </c>
      <c r="N54" s="1848" t="str">
        <f t="shared" si="0"/>
        <v>增值额×税（费）率</v>
      </c>
      <c r="O54" s="3565" t="str">
        <f t="shared" si="0"/>
        <v>免征</v>
      </c>
      <c r="P54" s="47"/>
      <c r="R54" s="3403" t="s">
        <v>3652</v>
      </c>
      <c r="S54" s="3402" t="s">
        <v>3655</v>
      </c>
    </row>
    <row r="55" spans="1:35" ht="24" customHeight="1">
      <c r="A55" s="4462" t="s">
        <v>1338</v>
      </c>
      <c r="B55" s="4435"/>
      <c r="C55" s="4435"/>
      <c r="D55" s="3653">
        <f ca="1">IF(H55="个人住宅",0,ROUND(D45*I55,0))</f>
        <v>16</v>
      </c>
      <c r="E55" s="899" t="s">
        <v>1339</v>
      </c>
      <c r="F55" s="1867" t="str">
        <f>IF(H55="正常",I55,"免征")</f>
        <v>免征</v>
      </c>
      <c r="G55" s="1868"/>
      <c r="H55" s="1866"/>
      <c r="I55" s="65">
        <f>'数据-取费表'!B50</f>
        <v>5.0000000000000001E-4</v>
      </c>
      <c r="J55" s="1848">
        <f>IF(H59="非个人房产","",4)</f>
        <v>4</v>
      </c>
      <c r="K55" s="4427" t="str">
        <f>IF(H59="非个人房产","——","个人所得税")</f>
        <v>个人所得税</v>
      </c>
      <c r="L55" s="4427"/>
      <c r="M55" s="3658">
        <f ca="1">D59</f>
        <v>323</v>
      </c>
      <c r="N55" s="1478" t="str">
        <f>E59</f>
        <v>差额计税</v>
      </c>
      <c r="O55" s="3566">
        <f>F59</f>
        <v>0.01</v>
      </c>
      <c r="R55" s="3403" t="s">
        <v>3653</v>
      </c>
      <c r="S55" s="3402" t="s">
        <v>3656</v>
      </c>
    </row>
    <row r="56" spans="1:35" ht="26">
      <c r="A56" s="4462" t="s">
        <v>1340</v>
      </c>
      <c r="B56" s="4435"/>
      <c r="C56" s="4435"/>
      <c r="D56" s="3653"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481" t="str">
        <f>IF(项目基本情况!K6="上海银行","其他处置费用","")</f>
        <v/>
      </c>
      <c r="L56" s="4482"/>
      <c r="M56" s="3657" t="str">
        <f>IF(项目基本情况!K6="上海银行",M69,"")</f>
        <v/>
      </c>
      <c r="N56" s="4481" t="str">
        <f>IF(项目基本情况!K6="上海银行","包含处置中涉及的律师、诉讼、拍卖、评估等费用","")</f>
        <v/>
      </c>
      <c r="O56" s="4485"/>
      <c r="R56" s="3402"/>
      <c r="S56" s="3402" t="s">
        <v>3657</v>
      </c>
    </row>
    <row r="57" spans="1:35" ht="13">
      <c r="A57" s="1700" t="s">
        <v>1319</v>
      </c>
      <c r="B57" s="4429" t="s">
        <v>1343</v>
      </c>
      <c r="C57" s="4430"/>
      <c r="D57" s="3654">
        <v>0</v>
      </c>
      <c r="E57" s="207" t="s">
        <v>1321</v>
      </c>
      <c r="F57" s="186"/>
      <c r="G57" s="1868"/>
      <c r="H57" s="1872"/>
      <c r="I57" s="1296"/>
      <c r="J57" s="4427">
        <f>IF(AND(J55="",J56=""),4,IF(项目基本情况!K6="上海银行",结果表!J56+1,结果表!J55+1))</f>
        <v>5</v>
      </c>
      <c r="K57" s="4427" t="s">
        <v>1344</v>
      </c>
      <c r="L57" s="1850" t="s">
        <v>1345</v>
      </c>
      <c r="M57" s="1851"/>
      <c r="N57" s="3659">
        <f ca="1">SUMIF(M52:M56,"&lt;9e307")</f>
        <v>339</v>
      </c>
      <c r="O57" s="1852"/>
      <c r="P57" s="1952">
        <f ca="1">N57/M49</f>
        <v>1.048951048951049E-2</v>
      </c>
      <c r="R57" s="4398" t="s">
        <v>3702</v>
      </c>
      <c r="S57" s="4399"/>
    </row>
    <row r="58" spans="1:35" ht="26">
      <c r="A58" s="1700" t="s">
        <v>1330</v>
      </c>
      <c r="B58" s="4429" t="s">
        <v>1346</v>
      </c>
      <c r="C58" s="4407"/>
      <c r="D58" s="3653">
        <f ca="1">IF(H58="转让取得",C81,C97)</f>
        <v>14410</v>
      </c>
      <c r="E58" s="899" t="s">
        <v>1341</v>
      </c>
      <c r="F58" s="186" t="s">
        <v>26</v>
      </c>
      <c r="G58" s="1868"/>
      <c r="H58" s="1871"/>
      <c r="I58" s="1296"/>
      <c r="J58" s="4427"/>
      <c r="K58" s="4427"/>
      <c r="L58" s="1850" t="s">
        <v>1347</v>
      </c>
      <c r="M58" s="1853"/>
      <c r="N58" s="1854" t="str">
        <f ca="1">NUMBERSTRING(INT(N57*10000),2)&amp;"元整"</f>
        <v>叁佰叁拾玖万元整</v>
      </c>
      <c r="O58" s="1855"/>
      <c r="R58" s="4400"/>
      <c r="S58" s="4401"/>
    </row>
    <row r="59" spans="1:35" ht="26.5" thickBot="1">
      <c r="A59" s="4475" t="s">
        <v>1348</v>
      </c>
      <c r="B59" s="4476"/>
      <c r="C59" s="4476"/>
      <c r="D59" s="3656">
        <f ca="1">IF(H59="非个人房产","——",IF(H59="个人住宅（满五唯一有凭证）",0,IF(H59="个人其他（无凭证）",ROUND(D45/(1+'数据-取费表'!C43)*F59,0),ROUND(C67*F59,0))))</f>
        <v>323</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73">
        <f>J57+1</f>
        <v>6</v>
      </c>
      <c r="K59" s="4427" t="s">
        <v>1349</v>
      </c>
      <c r="L59" s="1848" t="s">
        <v>1345</v>
      </c>
      <c r="M59" s="1856"/>
      <c r="N59" s="2589">
        <f ca="1">M49-N57</f>
        <v>31979</v>
      </c>
      <c r="O59" s="1857"/>
      <c r="R59" s="3401" t="s">
        <v>3659</v>
      </c>
      <c r="S59" s="3401" t="s">
        <v>3660</v>
      </c>
    </row>
    <row r="60" spans="1:35" ht="12" customHeight="1" thickBot="1">
      <c r="A60" s="1297"/>
      <c r="B60" s="464"/>
      <c r="C60" s="464"/>
      <c r="D60" s="464"/>
      <c r="E60" s="1110"/>
      <c r="F60" s="1296"/>
      <c r="G60" s="1296"/>
      <c r="H60" s="60"/>
      <c r="I60" s="47"/>
      <c r="J60" s="4474"/>
      <c r="K60" s="4427"/>
      <c r="L60" s="1850" t="s">
        <v>1347</v>
      </c>
      <c r="M60" s="1853"/>
      <c r="N60" s="1854" t="str">
        <f ca="1">NUMBERSTRING(INT(N59*10000),2)&amp;"元整"</f>
        <v>叁亿壹仟玖佰柒拾玖万元整</v>
      </c>
      <c r="O60" s="1855"/>
      <c r="R60" s="3401" t="s">
        <v>3661</v>
      </c>
      <c r="S60" s="3401" t="s">
        <v>3701</v>
      </c>
    </row>
    <row r="61" spans="1:35" ht="14.5" thickBot="1">
      <c r="A61" s="4405" t="s">
        <v>3699</v>
      </c>
      <c r="B61" s="4406"/>
      <c r="C61" s="4406"/>
      <c r="D61" s="4406"/>
      <c r="E61" s="3555"/>
      <c r="F61" s="4469" t="s">
        <v>3700</v>
      </c>
      <c r="G61" s="4470"/>
      <c r="H61" s="4470"/>
      <c r="I61" s="4471"/>
      <c r="J61" s="3539">
        <f>J59+1</f>
        <v>7</v>
      </c>
      <c r="K61" s="4427" t="s">
        <v>1350</v>
      </c>
      <c r="L61" s="4427"/>
      <c r="M61" s="1858"/>
      <c r="N61" s="2590">
        <f ca="1">ROUND(N59*10000/'数据-汇总表'!E3,0)</f>
        <v>26649</v>
      </c>
      <c r="O61" s="1859"/>
    </row>
    <row r="62" spans="1:35" ht="13.5" customHeight="1">
      <c r="A62" s="3562" t="s">
        <v>3713</v>
      </c>
      <c r="B62" s="3563" t="s">
        <v>3714</v>
      </c>
      <c r="C62" s="2409" t="s">
        <v>3712</v>
      </c>
      <c r="D62" s="3551" t="s">
        <v>3703</v>
      </c>
      <c r="E62" s="3556" t="s">
        <v>3705</v>
      </c>
      <c r="F62" s="3568" t="s">
        <v>3715</v>
      </c>
      <c r="G62" s="3569" t="s">
        <v>3694</v>
      </c>
      <c r="H62" s="3570" t="s">
        <v>3716</v>
      </c>
      <c r="I62" s="3571" t="s">
        <v>3696</v>
      </c>
    </row>
    <row r="63" spans="1:35" ht="24">
      <c r="A63" s="70" t="s">
        <v>328</v>
      </c>
      <c r="B63" s="3558" t="s">
        <v>3707</v>
      </c>
      <c r="C63" s="3660">
        <f ca="1">ROUND(C64+C65,0)</f>
        <v>32318</v>
      </c>
      <c r="D63" s="3552"/>
      <c r="E63" s="4402" t="s">
        <v>3704</v>
      </c>
      <c r="F63" s="1700">
        <v>1</v>
      </c>
      <c r="G63" s="2740" t="s">
        <v>3691</v>
      </c>
      <c r="H63" s="3178">
        <f ca="1">H64-H66</f>
        <v>2668</v>
      </c>
      <c r="I63" s="2680"/>
      <c r="J63" s="4483" t="s">
        <v>1354</v>
      </c>
      <c r="K63" s="889" t="s">
        <v>1355</v>
      </c>
      <c r="L63" s="3675">
        <f ca="1">IF(M49&gt;10000,M49*0.5%,IF(AND(M49&gt;1000,M49&lt;=10000),M49*1%,IF(AND(M49&gt;100,M49&lt;=1000),M49*3%,IF(AND(M49&gt;10,M49&lt;=100),M49*5%,M49*8%))))</f>
        <v>161.59</v>
      </c>
      <c r="M63" s="2665">
        <f ca="1">ROUND(L63,1)</f>
        <v>161.6</v>
      </c>
      <c r="N63" s="1860"/>
      <c r="Z63" s="1254"/>
      <c r="AI63" s="1197"/>
    </row>
    <row r="64" spans="1:35" ht="14.25" customHeight="1">
      <c r="A64" s="67" t="s">
        <v>323</v>
      </c>
      <c r="B64" s="3559" t="s">
        <v>3708</v>
      </c>
      <c r="C64" s="3541">
        <f ca="1">D45</f>
        <v>32318</v>
      </c>
      <c r="D64" s="4239" t="s">
        <v>4064</v>
      </c>
      <c r="E64" s="4403"/>
      <c r="F64" s="1700">
        <v>2</v>
      </c>
      <c r="G64" s="2740" t="s">
        <v>3692</v>
      </c>
      <c r="H64" s="3178">
        <f ca="1">ROUND(H65*I64/(1+I64),0)</f>
        <v>2668</v>
      </c>
      <c r="I64" s="3572">
        <v>0.09</v>
      </c>
      <c r="J64" s="4483"/>
      <c r="K64" s="889" t="s">
        <v>1356</v>
      </c>
      <c r="L64" s="3675">
        <f ca="1">IF(M49&gt;2000,M49*0.5%,IF(AND(M49&gt;1000,M49&lt;=2000),M49*0.6%,IF(AND(M49&gt;500,M49&lt;=1000),M49*0.7%,IF(AND(M49&gt;200,M49&lt;=500),M49*0.8%,IF(AND(M49&gt;100,M49&lt;=200),M49*0.9%,IF(AND(M49&gt;50,M49&lt;=100),M49*1%,IF(AND(M49&gt;20,M49&lt;=50),M49*1.5%,IF(AND(M49&gt;10,M49&lt;=20),M49*2%,IF(AND(M49&gt;1,M49&lt;=10),M49*2.5%)))))))))</f>
        <v>161.59</v>
      </c>
      <c r="M64" s="2665">
        <f t="shared" ref="M64:M65" ca="1" si="1">ROUND(L64,1)</f>
        <v>161.6</v>
      </c>
      <c r="N64" s="1861" t="s">
        <v>1357</v>
      </c>
      <c r="Z64" s="1254"/>
      <c r="AI64" s="1197"/>
    </row>
    <row r="65" spans="1:35" ht="14.25" customHeight="1">
      <c r="A65" s="67" t="s">
        <v>324</v>
      </c>
      <c r="B65" s="3559" t="s">
        <v>3709</v>
      </c>
      <c r="C65" s="3661"/>
      <c r="D65" s="3553"/>
      <c r="E65" s="4403"/>
      <c r="F65" s="67" t="s">
        <v>323</v>
      </c>
      <c r="G65" s="3573" t="s">
        <v>3695</v>
      </c>
      <c r="H65" s="3178">
        <f ca="1">D45</f>
        <v>32318</v>
      </c>
      <c r="I65" s="4241" t="s">
        <v>4065</v>
      </c>
      <c r="J65" s="4483"/>
      <c r="K65" s="889" t="s">
        <v>1358</v>
      </c>
      <c r="L65" s="3675">
        <f ca="1">IF(M49&gt;1000,M49*0.1%,IF(AND(M49&gt;500,M49&lt;=1000),M49*0.5%,IF(AND(M49&gt;50,M49&lt;=500),M49*1%,IF(AND(M49&gt;1,M49&lt;=50),M49*1.5%))))</f>
        <v>32.317999999999998</v>
      </c>
      <c r="M65" s="2665">
        <f t="shared" ca="1" si="1"/>
        <v>32.299999999999997</v>
      </c>
      <c r="N65" s="1861" t="s">
        <v>1357</v>
      </c>
      <c r="Z65" s="1254"/>
      <c r="AI65" s="1197"/>
    </row>
    <row r="66" spans="1:35" ht="14.25" customHeight="1">
      <c r="A66" s="70" t="s">
        <v>325</v>
      </c>
      <c r="B66" s="3560" t="s">
        <v>3710</v>
      </c>
      <c r="C66" s="3661"/>
      <c r="D66" s="4240" t="s">
        <v>4064</v>
      </c>
      <c r="E66" s="4403"/>
      <c r="F66" s="2453">
        <v>3</v>
      </c>
      <c r="G66" s="2740" t="s">
        <v>3693</v>
      </c>
      <c r="H66" s="3213">
        <f>ROUND(H67*I67,0)+ROUND(H68*I68,0)</f>
        <v>0</v>
      </c>
      <c r="I66" s="4095"/>
      <c r="J66" s="4483"/>
      <c r="K66" s="889" t="s">
        <v>1359</v>
      </c>
      <c r="L66" s="3675">
        <f ca="1">M49*0.5%</f>
        <v>161.59</v>
      </c>
      <c r="M66" s="2665">
        <f ca="1">IF(L66&gt;0.5,0.5,ROUND(L66,0))</f>
        <v>0.5</v>
      </c>
      <c r="N66" s="1861" t="s">
        <v>1360</v>
      </c>
      <c r="Z66" s="1254"/>
      <c r="AI66" s="1197"/>
    </row>
    <row r="67" spans="1:35" ht="14.25" customHeight="1">
      <c r="A67" s="70" t="s">
        <v>326</v>
      </c>
      <c r="B67" s="3557" t="s">
        <v>3706</v>
      </c>
      <c r="C67" s="3541">
        <f ca="1">C63-C66</f>
        <v>32318</v>
      </c>
      <c r="D67" s="3553"/>
      <c r="E67" s="4403"/>
      <c r="F67" s="67" t="s">
        <v>323</v>
      </c>
      <c r="G67" s="3573" t="s">
        <v>3697</v>
      </c>
      <c r="H67" s="3650"/>
      <c r="I67" s="3572">
        <v>0.09</v>
      </c>
      <c r="J67" s="4483"/>
      <c r="K67" s="889" t="s">
        <v>1361</v>
      </c>
      <c r="L67" s="3675">
        <f ca="1">IF(M49&gt;=10000,(8.25+(M49-10000)*0.01%),IF(AND(M49&gt;=8000,M49&lt;10000),(7.85+(M49-8000)*0.02%),IF(AND(M49&gt;=5000,M49&lt;8000),(6.65+(M49-5000)*0.04%),IF(AND(M49&gt;=2000,M49&lt;5000),(4.25+(PM49-2000)*0.08%),IF(AND(M49&gt;=1000,M49&lt;2000),(2.75+(M49-1000)*0.15%),IF(AND(M49&gt;=100,M49&lt;1000),(0.5+(M49-100)*0.25%),IF(AND(M49&gt;0,M49&lt;100),M49*0.5%)))))))</f>
        <v>10.4818</v>
      </c>
      <c r="M67" s="2665">
        <f ca="1">ROUND(L67*0.9,1)</f>
        <v>9.4</v>
      </c>
      <c r="N67" s="1860"/>
      <c r="Z67" s="1254"/>
      <c r="AI67" s="1197"/>
    </row>
    <row r="68" spans="1:35" ht="14.25" customHeight="1" thickBot="1">
      <c r="A68" s="72" t="s">
        <v>327</v>
      </c>
      <c r="B68" s="3561" t="s">
        <v>3711</v>
      </c>
      <c r="C68" s="3547">
        <f ca="1">IF(C67&lt;=0,0,ROUND(C67*D68/(1+D68),0))</f>
        <v>1539</v>
      </c>
      <c r="D68" s="3554">
        <v>0.05</v>
      </c>
      <c r="E68" s="4404"/>
      <c r="F68" s="3567" t="s">
        <v>324</v>
      </c>
      <c r="G68" s="3574" t="s">
        <v>3698</v>
      </c>
      <c r="H68" s="3652"/>
      <c r="I68" s="3575">
        <v>0.06</v>
      </c>
      <c r="J68" s="4483"/>
      <c r="K68" s="889" t="s">
        <v>1362</v>
      </c>
      <c r="L68" s="3675">
        <f ca="1">IF(M49&gt;10000,M49*0.5%,IF(AND(M49&gt;5000,M49&lt;=10000),M49*1%,IF(AND(M49&gt;1000,M49&lt;=5000),M49*2%,IF(AND(M49&gt;200,M49&lt;=1000),M49*3%,M49*5%))))</f>
        <v>161.59</v>
      </c>
      <c r="M68" s="2665">
        <f ca="1">ROUND(L68,1)</f>
        <v>161.6</v>
      </c>
      <c r="N68" s="1860"/>
      <c r="Z68" s="1254"/>
      <c r="AI68" s="1197"/>
    </row>
    <row r="69" spans="1:35" ht="16.5" customHeight="1">
      <c r="A69" s="1298"/>
      <c r="B69" s="1299"/>
      <c r="C69" s="1300"/>
      <c r="D69" s="1301"/>
      <c r="E69" s="1302"/>
      <c r="F69" s="1110"/>
      <c r="G69" s="1110"/>
      <c r="H69" s="1111"/>
      <c r="I69" s="464"/>
      <c r="J69" s="4484"/>
      <c r="K69" s="889" t="s">
        <v>1363</v>
      </c>
      <c r="L69" s="3675"/>
      <c r="M69" s="2665">
        <f ca="1">ROUND(SUM(M63:M68),0)</f>
        <v>527</v>
      </c>
      <c r="N69" s="1862">
        <f ca="1">M69/M49</f>
        <v>1.6306702147410111E-2</v>
      </c>
      <c r="Z69" s="1254"/>
      <c r="AI69" s="1197"/>
    </row>
    <row r="70" spans="1:35" s="463" customFormat="1" ht="14.5" thickBot="1">
      <c r="A70" s="4454" t="s">
        <v>1364</v>
      </c>
      <c r="B70" s="4455"/>
      <c r="C70" s="4455"/>
      <c r="D70" s="4455"/>
      <c r="E70" s="4455"/>
      <c r="F70" s="4455"/>
      <c r="G70" s="4455"/>
      <c r="H70" s="445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19" t="s">
        <v>1351</v>
      </c>
      <c r="B71" s="4420"/>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2">
        <f ca="1">ROUND(D45/(1+D72),0)</f>
        <v>29650</v>
      </c>
      <c r="D72" s="3540">
        <v>0.09</v>
      </c>
      <c r="E72" s="8" t="s">
        <v>3689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2">
        <f ca="1">C74+C78</f>
        <v>3558</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1">
        <f>ROUND(IF(G77="2016年5月1日后购买",C75/(1+D72)+C76+C77,C75+C76+C77),0)</f>
        <v>0</v>
      </c>
      <c r="D74" s="3541"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1"/>
      <c r="D75" s="3541" t="s">
        <v>24</v>
      </c>
      <c r="E75" s="79" t="s">
        <v>1369</v>
      </c>
      <c r="F75" s="1875"/>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29" t="s">
        <v>1372</v>
      </c>
      <c r="F76" s="4407"/>
      <c r="G76" s="4407"/>
      <c r="H76" s="445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f ca="1">ROUND(C72*D78,0)</f>
        <v>3558</v>
      </c>
      <c r="D78" s="3546">
        <f>'数据-取费表'!B44</f>
        <v>0.12000000000000001</v>
      </c>
      <c r="E78" s="4417" t="s">
        <v>1376</v>
      </c>
      <c r="F78" s="4418"/>
      <c r="G78" s="4418"/>
      <c r="H78" s="442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2">
        <f ca="1">C72-C73</f>
        <v>26092</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5">
        <f ca="1">IF(C79&lt;=0,0,C79/C73)</f>
        <v>7.333333333333333</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3">
        <f ca="1">ROUND(IF(C79&lt;=0,0,IF(C80&gt;=200%,C79*60%-C73*35%,IF(C80&gt;=100%,C79*50%-C73*15%,IF(C80&gt;=50%,C79*40%-C73*5%,IF(C80&lt;50%,C79*30%,0))))),0)</f>
        <v>14410</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54" t="s">
        <v>1380</v>
      </c>
      <c r="B83" s="4455"/>
      <c r="C83" s="4455"/>
      <c r="D83" s="4455"/>
      <c r="E83" s="4455"/>
      <c r="F83" s="4455"/>
      <c r="G83" s="4455"/>
      <c r="H83" s="445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19" t="s">
        <v>1351</v>
      </c>
      <c r="B84" s="4420"/>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2">
        <f ca="1">ROUND(D45/(1+D85),0)</f>
        <v>29650</v>
      </c>
      <c r="D85" s="3540">
        <v>0.09</v>
      </c>
      <c r="E85" s="8" t="s">
        <v>3689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2">
        <f ca="1">IF(H88="仅含出让金",C87+C90+C91+C92+C93+C94,C87+C91+C92+C93+C94)</f>
        <v>3558</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1"/>
      <c r="D88" s="3546"/>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1"/>
      <c r="D90" s="3546"/>
      <c r="E90" s="88" t="str">
        <f>IF(H88="-","土地取得成本中已包含该笔费用"," ")</f>
        <v xml:space="preserve"> </v>
      </c>
      <c r="F90" s="1696"/>
      <c r="G90" s="4486" t="s">
        <v>2033</v>
      </c>
      <c r="H90" s="4487"/>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17" t="s">
        <v>1389</v>
      </c>
      <c r="F91" s="4418"/>
      <c r="G91" s="4418"/>
      <c r="H91" s="3533" t="s">
        <v>3685</v>
      </c>
      <c r="I91" s="3665"/>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17" t="s">
        <v>1392</v>
      </c>
      <c r="F92" s="4418"/>
      <c r="G92" s="4418"/>
      <c r="H92" s="4421"/>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f ca="1">ROUND(C85*D93,0)</f>
        <v>3558</v>
      </c>
      <c r="D93" s="3546">
        <f>'数据-取费表'!B44</f>
        <v>0.12000000000000001</v>
      </c>
      <c r="E93" s="4463" t="s">
        <v>3688</v>
      </c>
      <c r="F93" s="4418"/>
      <c r="G93" s="4418"/>
      <c r="H93" s="442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6">
        <v>0.2</v>
      </c>
      <c r="E94" s="4464" t="s">
        <v>1396</v>
      </c>
      <c r="F94" s="4465"/>
      <c r="G94" s="4465"/>
      <c r="H94" s="446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2">
        <f ca="1">ROUND(C85-C86,0)</f>
        <v>26092</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2">
        <f ca="1">IF(C95&lt;=0,0,C95/C86)</f>
        <v>7.333333333333333</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3">
        <f ca="1">ROUND(IF(C95&lt;=0,0,IF(C96&gt;=200%,C95*60%-C86*35%,IF(C96&gt;=100%,C95*50%-C86*15%,IF(C96&gt;=50%,C95*40%-C86*5%,IF(C96&lt;50%,C95*30%,0))))),0)</f>
        <v>14410</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78" t="s">
        <v>1398</v>
      </c>
      <c r="B100" s="4379"/>
      <c r="C100" s="4379"/>
      <c r="D100" s="4472"/>
      <c r="E100" s="4379" t="s">
        <v>1399</v>
      </c>
      <c r="F100" s="4379"/>
      <c r="G100" s="4379"/>
      <c r="H100" s="4472"/>
      <c r="I100" s="47"/>
    </row>
    <row r="101" spans="1:35" ht="18.75" customHeight="1">
      <c r="A101" s="4491" t="s">
        <v>1400</v>
      </c>
      <c r="B101" s="4492"/>
      <c r="C101" s="1877" t="str">
        <f>C4</f>
        <v>比较法-办公</v>
      </c>
      <c r="D101" s="1878" t="str">
        <f>D4</f>
        <v>收益法</v>
      </c>
      <c r="E101" s="4480" t="s">
        <v>1401</v>
      </c>
      <c r="F101" s="4391"/>
      <c r="G101" s="1311" t="s">
        <v>1402</v>
      </c>
      <c r="H101" s="3670">
        <f ca="1">I118</f>
        <v>32318</v>
      </c>
      <c r="I101" s="47"/>
    </row>
    <row r="102" spans="1:35" ht="18.75" customHeight="1">
      <c r="A102" s="4448" t="s">
        <v>1403</v>
      </c>
      <c r="B102" s="1876" t="s">
        <v>1402</v>
      </c>
      <c r="C102" s="3666">
        <f ca="1">C19</f>
        <v>45068</v>
      </c>
      <c r="D102" s="3667">
        <f ca="1">D19</f>
        <v>13192</v>
      </c>
      <c r="E102" s="4480"/>
      <c r="F102" s="4391"/>
      <c r="G102" s="1311" t="s">
        <v>1404</v>
      </c>
      <c r="H102" s="2766">
        <f ca="1">H118</f>
        <v>26931</v>
      </c>
      <c r="I102" s="47"/>
    </row>
    <row r="103" spans="1:35" ht="42.75" customHeight="1">
      <c r="A103" s="4448"/>
      <c r="B103" s="1876" t="s">
        <v>1404</v>
      </c>
      <c r="C103" s="3668">
        <f ca="1">C20</f>
        <v>40936</v>
      </c>
      <c r="D103" s="3669">
        <f ca="1">D20</f>
        <v>10993</v>
      </c>
      <c r="E103" s="4460" t="s">
        <v>1405</v>
      </c>
      <c r="F103" s="4461"/>
      <c r="G103" s="1312" t="s">
        <v>1406</v>
      </c>
      <c r="H103" s="3670">
        <f>IF(D36="正常操作",H104+H105+H106,H105+H106)</f>
        <v>0</v>
      </c>
      <c r="I103" s="47"/>
    </row>
    <row r="104" spans="1:35" ht="18.75" customHeight="1">
      <c r="A104" s="4448" t="s">
        <v>1407</v>
      </c>
      <c r="B104" s="1879" t="s">
        <v>1402</v>
      </c>
      <c r="C104" s="4497">
        <f ca="1">I118</f>
        <v>32318</v>
      </c>
      <c r="D104" s="4498"/>
      <c r="E104" s="1191" t="s">
        <v>1408</v>
      </c>
      <c r="F104" s="1188"/>
      <c r="G104" s="1312" t="s">
        <v>1406</v>
      </c>
      <c r="H104" s="3671">
        <f>IF(D36="同一抵押权人同一抵押物续贷",C36&amp;"（续贷，未扣减，详见特别提示）",C36)</f>
        <v>0</v>
      </c>
      <c r="I104" s="47"/>
    </row>
    <row r="105" spans="1:35" ht="18.75" customHeight="1" thickBot="1">
      <c r="A105" s="4449"/>
      <c r="B105" s="1880" t="s">
        <v>1404</v>
      </c>
      <c r="C105" s="4499">
        <f ca="1">H118</f>
        <v>26931</v>
      </c>
      <c r="D105" s="4500"/>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90" t="str">
        <f>IF(项目基本情况!E8="已注销","——","3.房地产抵押价值")</f>
        <v>3.房地产抵押价值</v>
      </c>
      <c r="F107" s="4391"/>
      <c r="G107" s="1311" t="s">
        <v>1402</v>
      </c>
      <c r="H107" s="3670">
        <f ca="1">IF(E107="——","——",H101-H103)</f>
        <v>32318</v>
      </c>
      <c r="I107" s="47"/>
    </row>
    <row r="108" spans="1:35" ht="18.75" customHeight="1">
      <c r="A108" s="47"/>
      <c r="B108" s="47"/>
      <c r="C108" s="47"/>
      <c r="D108" s="47"/>
      <c r="E108" s="4390"/>
      <c r="F108" s="4391"/>
      <c r="G108" s="1311" t="s">
        <v>1404</v>
      </c>
      <c r="H108" s="2766">
        <f ca="1">IF(H107=H101,H102,ROUND(H107*10000/'数据-汇总表'!E3,0))</f>
        <v>26931</v>
      </c>
      <c r="I108" s="47"/>
    </row>
    <row r="109" spans="1:35" ht="18.75" customHeight="1">
      <c r="A109" s="47"/>
      <c r="B109" s="47"/>
      <c r="C109" s="47"/>
      <c r="D109" s="47"/>
      <c r="E109" s="4390" t="str">
        <f>IF(项目基本情况!E8="已注销及未注销","4.抵押担保权已注销时的房地产抵押价值",IF(项目基本情况!E8="已注销","3.抵押担保权已注销时的房地产抵押价值","——"))</f>
        <v>——</v>
      </c>
      <c r="F109" s="4391"/>
      <c r="G109" s="1311" t="s">
        <v>1402</v>
      </c>
      <c r="H109" s="2761" t="str">
        <f>IF(E109="——","——",H101-H105-H106)</f>
        <v>——</v>
      </c>
      <c r="I109" s="47"/>
    </row>
    <row r="110" spans="1:35" ht="18.75" customHeight="1">
      <c r="A110" s="47"/>
      <c r="B110" s="47"/>
      <c r="C110" s="47"/>
      <c r="D110" s="47"/>
      <c r="E110" s="4390"/>
      <c r="F110" s="4391"/>
      <c r="G110" s="1311" t="s">
        <v>1404</v>
      </c>
      <c r="H110" s="2766" t="str">
        <f>IF(H109="——","——",ROUND(H109*10000/'数据-汇总表'!E3,0))</f>
        <v>——</v>
      </c>
      <c r="I110" s="47"/>
    </row>
    <row r="111" spans="1:35" ht="18.75" customHeight="1">
      <c r="A111" s="47"/>
      <c r="B111" s="47"/>
      <c r="C111" s="47"/>
      <c r="D111" s="47"/>
      <c r="E111" s="4493" t="str">
        <f>IF(项目基本情况!E9="抵押净值",IF(OR(项目基本情况!E8="已注销",项目基本情况!E8="房地产抵押价值"),"4.抵押净值","5.抵押净值"),"——")</f>
        <v>4.抵押净值</v>
      </c>
      <c r="F111" s="4494"/>
      <c r="G111" s="1311" t="s">
        <v>1402</v>
      </c>
      <c r="H111" s="3670">
        <f ca="1">IF(E111="——","——",N59)</f>
        <v>31979</v>
      </c>
      <c r="I111" s="47"/>
    </row>
    <row r="112" spans="1:35" ht="18.75" customHeight="1" thickBot="1">
      <c r="A112" s="47"/>
      <c r="B112" s="47"/>
      <c r="C112" s="47"/>
      <c r="D112" s="47"/>
      <c r="E112" s="4495"/>
      <c r="F112" s="4496"/>
      <c r="G112" s="1314" t="s">
        <v>1404</v>
      </c>
      <c r="H112" s="3632">
        <f ca="1">IF(E111="——","——",N61)</f>
        <v>26649</v>
      </c>
      <c r="I112" s="47"/>
    </row>
    <row r="113" spans="1:27" ht="18.75" customHeight="1">
      <c r="A113" s="47"/>
      <c r="B113" s="47"/>
      <c r="C113" s="47"/>
      <c r="D113" s="47"/>
      <c r="E113" s="4450" t="s">
        <v>1410</v>
      </c>
      <c r="F113" s="4450"/>
      <c r="G113" s="4450"/>
      <c r="H113" s="4450"/>
      <c r="I113" s="47"/>
    </row>
    <row r="114" spans="1:27" ht="3.75" customHeight="1">
      <c r="A114" s="464"/>
      <c r="B114" s="464"/>
      <c r="C114" s="464"/>
      <c r="D114" s="464"/>
      <c r="E114" s="1297"/>
      <c r="F114" s="1297"/>
      <c r="G114" s="1297"/>
      <c r="H114" s="1297"/>
      <c r="I114" s="464"/>
    </row>
    <row r="115" spans="1:27" ht="18.75" customHeight="1">
      <c r="A115" s="4457" t="s">
        <v>1412</v>
      </c>
      <c r="B115" s="4458"/>
      <c r="C115" s="4458"/>
      <c r="D115" s="4458"/>
      <c r="E115" s="4458"/>
      <c r="F115" s="4458"/>
      <c r="G115" s="4458"/>
      <c r="H115" s="4458"/>
      <c r="I115" s="4459"/>
    </row>
    <row r="116" spans="1:27" ht="27" customHeight="1">
      <c r="A116" s="4428" t="s">
        <v>1413</v>
      </c>
      <c r="B116" s="4451" t="s">
        <v>1414</v>
      </c>
      <c r="C116" s="4451" t="s">
        <v>1415</v>
      </c>
      <c r="D116" s="4489" t="s">
        <v>1416</v>
      </c>
      <c r="E116" s="4490"/>
      <c r="F116" s="4456"/>
      <c r="G116" s="4456"/>
      <c r="H116" s="4428" t="s">
        <v>1417</v>
      </c>
      <c r="I116" s="4428"/>
      <c r="K116" s="3032"/>
      <c r="L116" s="3033" t="s">
        <v>3479</v>
      </c>
      <c r="M116" s="3033" t="s">
        <v>3480</v>
      </c>
      <c r="N116" s="3033" t="s">
        <v>3481</v>
      </c>
    </row>
    <row r="117" spans="1:27" ht="18.75" customHeight="1">
      <c r="A117" s="4428"/>
      <c r="B117" s="4452"/>
      <c r="C117" s="4452"/>
      <c r="D117" s="1698" t="s">
        <v>1419</v>
      </c>
      <c r="E117" s="1698" t="s">
        <v>1418</v>
      </c>
      <c r="F117" s="1698" t="s">
        <v>1420</v>
      </c>
      <c r="G117" s="1698" t="s">
        <v>1418</v>
      </c>
      <c r="H117" s="1698" t="s">
        <v>1420</v>
      </c>
      <c r="I117" s="1698" t="s">
        <v>1418</v>
      </c>
      <c r="K117" s="3033" t="s">
        <v>3477</v>
      </c>
      <c r="L117" s="3673">
        <f ca="1">C34</f>
        <v>19262</v>
      </c>
      <c r="M117" s="3674">
        <f ca="1">C35</f>
        <v>13056</v>
      </c>
      <c r="N117" s="3674">
        <f ca="1">C32</f>
        <v>32318</v>
      </c>
    </row>
    <row r="118" spans="1:27" ht="24.75" customHeight="1">
      <c r="A118" s="1881" t="str">
        <f>项目基本情况!S2</f>
        <v>北京市东城区朝阳门北大街8号房地产</v>
      </c>
      <c r="B118" s="2597">
        <f>M18</f>
        <v>12000.23</v>
      </c>
      <c r="C118" s="2597">
        <f>M19</f>
        <v>1066.21</v>
      </c>
      <c r="D118" s="679">
        <f ca="1">ROUND(IF(C33="自定义",IF(D32="楼面单价",L119,E118*10000/B118),H118-F118),0)</f>
        <v>16051</v>
      </c>
      <c r="E118" s="679">
        <f ca="1">ROUND(IF(D32="总价",L117,L119*B118/10000),0)</f>
        <v>19262</v>
      </c>
      <c r="F118" s="679">
        <f ca="1">ROUND(IF(D32="楼面单价",,G118*10000/B118),0)</f>
        <v>10880</v>
      </c>
      <c r="G118" s="679">
        <f ca="1">ROUND(IF(D32="总价",M117,M119*B118/10000),0)</f>
        <v>13056</v>
      </c>
      <c r="H118" s="679">
        <f ca="1">ROUND(IF(D32="楼面单价",C32,N117*10000/B118),0)</f>
        <v>26931</v>
      </c>
      <c r="I118" s="679">
        <f ca="1">ROUND(IF(D32="总价",C32,N119*B118/10000),4)</f>
        <v>32318</v>
      </c>
      <c r="K118" s="3032"/>
      <c r="L118" s="3032"/>
      <c r="M118" s="3032"/>
      <c r="N118" s="3032"/>
    </row>
    <row r="119" spans="1:27" ht="18.75" customHeight="1">
      <c r="A119" s="4428" t="s">
        <v>1421</v>
      </c>
      <c r="B119" s="4428"/>
      <c r="C119" s="4428"/>
      <c r="D119" s="4387" t="str">
        <f ca="1">NUMBERSTRING(INT(E118*10000),2)&amp;"元整"</f>
        <v>壹亿玖仟贰佰陆拾贰万元整</v>
      </c>
      <c r="E119" s="4389"/>
      <c r="F119" s="4387" t="str">
        <f ca="1">NUMBERSTRING(INT(G118*10000),2)&amp;"元整"</f>
        <v>壹亿叁仟零伍拾陆万元整</v>
      </c>
      <c r="G119" s="4389"/>
      <c r="H119" s="4387" t="str">
        <f ca="1">NUMBERSTRING(INT(I118*10000),2)&amp;"元整"</f>
        <v>叁亿贰仟叁佰壹拾捌万元整</v>
      </c>
      <c r="I119" s="4389"/>
      <c r="K119" s="3033" t="s">
        <v>3478</v>
      </c>
      <c r="L119" s="3674">
        <f ca="1">C34</f>
        <v>19262</v>
      </c>
      <c r="M119" s="3674">
        <f ca="1">C35</f>
        <v>13056</v>
      </c>
      <c r="N119" s="3674">
        <f ca="1">C32</f>
        <v>32318</v>
      </c>
    </row>
    <row r="120" spans="1:27" ht="18.75" hidden="1" customHeight="1">
      <c r="A120" s="4384" t="str">
        <f>IF(项目基本情况!B9="房地产市场价值","",MID(E103,3,LEN(E103)-2))</f>
        <v>估价师知悉的法定优先受偿款</v>
      </c>
      <c r="B120" s="4385"/>
      <c r="C120" s="4385"/>
      <c r="D120" s="4385"/>
      <c r="E120" s="4385"/>
      <c r="F120" s="4385"/>
      <c r="G120" s="4386"/>
      <c r="H120" s="4392">
        <f>H103</f>
        <v>0</v>
      </c>
      <c r="I120" s="4393"/>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7" t="s">
        <v>1421</v>
      </c>
      <c r="B121" s="4388"/>
      <c r="C121" s="4388"/>
      <c r="D121" s="4388"/>
      <c r="E121" s="4388"/>
      <c r="F121" s="4388"/>
      <c r="G121" s="4389"/>
      <c r="H121" s="4394" t="str">
        <f>IF(H120=0,"零元整",NUMBERSTRING(INT(H120*10000),2)&amp;"元整")</f>
        <v>零元整</v>
      </c>
      <c r="I121" s="4395"/>
      <c r="AA121" s="493"/>
    </row>
    <row r="122" spans="1:27" ht="18.75" hidden="1" customHeight="1">
      <c r="A122" s="4384" t="str">
        <f>IF(项目基本情况!B9="房地产市场价值","",MID(E107,3,LEN(E107)-2))</f>
        <v>房地产抵押价值</v>
      </c>
      <c r="B122" s="4385"/>
      <c r="C122" s="4385"/>
      <c r="D122" s="4385"/>
      <c r="E122" s="4385"/>
      <c r="F122" s="4385"/>
      <c r="G122" s="4386"/>
      <c r="H122" s="4396">
        <f ca="1">H107</f>
        <v>32318</v>
      </c>
      <c r="I122" s="4397"/>
      <c r="AA122" s="493"/>
    </row>
    <row r="123" spans="1:27" ht="18.75" hidden="1" customHeight="1">
      <c r="A123" s="4387" t="s">
        <v>1421</v>
      </c>
      <c r="B123" s="4388"/>
      <c r="C123" s="4388"/>
      <c r="D123" s="4388"/>
      <c r="E123" s="4388"/>
      <c r="F123" s="4388"/>
      <c r="G123" s="4389"/>
      <c r="H123" s="4387" t="str">
        <f ca="1">NUMBERSTRING(INT(H122*10000),2)&amp;"元整"</f>
        <v>叁亿贰仟叁佰壹拾捌万元整</v>
      </c>
      <c r="I123" s="4389"/>
      <c r="AA123" s="493"/>
    </row>
    <row r="124" spans="1:27" ht="18.75" hidden="1" customHeight="1">
      <c r="A124" s="4384" t="str">
        <f>IF(项目基本情况!B9="房地产市场价值","",MID(E109,3,LEN(E109)-2))</f>
        <v/>
      </c>
      <c r="B124" s="4385"/>
      <c r="C124" s="4385"/>
      <c r="D124" s="4385"/>
      <c r="E124" s="4385"/>
      <c r="F124" s="4385"/>
      <c r="G124" s="4386"/>
      <c r="H124" s="4396" t="str">
        <f>H109</f>
        <v>——</v>
      </c>
      <c r="I124" s="4397"/>
      <c r="AA124" s="493"/>
    </row>
    <row r="125" spans="1:27" ht="18.75" hidden="1" customHeight="1">
      <c r="A125" s="4387" t="s">
        <v>1421</v>
      </c>
      <c r="B125" s="4388"/>
      <c r="C125" s="4388"/>
      <c r="D125" s="4388"/>
      <c r="E125" s="4388"/>
      <c r="F125" s="4388"/>
      <c r="G125" s="4389"/>
      <c r="H125" s="4387" t="e">
        <f>NUMBERSTRING(INT(H124*10000),2)&amp;"元整"</f>
        <v>#VALUE!</v>
      </c>
      <c r="I125" s="4389"/>
      <c r="AA125" s="493"/>
    </row>
    <row r="126" spans="1:27" ht="18.75" hidden="1" customHeight="1">
      <c r="A126" s="4384" t="str">
        <f>IF(项目基本情况!B9="房地产市场价值","",MID(E111,3,LEN(E111)-2))</f>
        <v>抵押净值</v>
      </c>
      <c r="B126" s="4385"/>
      <c r="C126" s="4385"/>
      <c r="D126" s="4385"/>
      <c r="E126" s="4385"/>
      <c r="F126" s="4385"/>
      <c r="G126" s="4386"/>
      <c r="H126" s="4396">
        <f ca="1">H111</f>
        <v>31979</v>
      </c>
      <c r="I126" s="4397"/>
      <c r="AA126" s="493"/>
    </row>
    <row r="127" spans="1:27" ht="18.75" hidden="1" customHeight="1">
      <c r="A127" s="4387" t="s">
        <v>1421</v>
      </c>
      <c r="B127" s="4388"/>
      <c r="C127" s="4388"/>
      <c r="D127" s="4388"/>
      <c r="E127" s="4388"/>
      <c r="F127" s="4388"/>
      <c r="G127" s="4389"/>
      <c r="H127" s="4387" t="str">
        <f ca="1">NUMBERSTRING(INT(H126*10000),2)&amp;"元整"</f>
        <v>叁亿壹仟玖佰柒拾玖万元整</v>
      </c>
      <c r="I127" s="4389"/>
      <c r="AA127" s="493"/>
    </row>
    <row r="128" spans="1:27" ht="21.75" hidden="1" customHeight="1">
      <c r="A128" s="4488" t="s">
        <v>1422</v>
      </c>
      <c r="B128" s="4488"/>
      <c r="C128" s="4488"/>
      <c r="D128" s="4488"/>
      <c r="E128" s="4488"/>
      <c r="F128" s="4488"/>
      <c r="G128" s="4488"/>
      <c r="H128" s="4488"/>
      <c r="I128" s="448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8"/>
      <c r="C1" s="3324"/>
      <c r="D1" s="1341" t="s">
        <v>1499</v>
      </c>
      <c r="E1" s="93"/>
      <c r="F1" s="93"/>
      <c r="G1" s="756">
        <f>MATCH(B1,'数据-取费表'!A6:A16,0)+5</f>
        <v>7</v>
      </c>
      <c r="H1" s="3019" t="str">
        <f>IF(ISERROR(FIND("住宅",B1)),"非住宅","住宅")</f>
        <v>非住宅</v>
      </c>
    </row>
    <row r="2" spans="1:10" s="95" customFormat="1" ht="15.5">
      <c r="A2" s="96" t="s">
        <v>1431</v>
      </c>
      <c r="B2" s="3676">
        <f ca="1">ROUND(D3/10000,4)</f>
        <v>5790.4319999999998</v>
      </c>
      <c r="C2" s="94" t="s">
        <v>1432</v>
      </c>
      <c r="D2" s="1335" t="s">
        <v>41</v>
      </c>
      <c r="E2" s="2509">
        <f ca="1">IF(D2="——",0,SUMIF(INDIRECT("'"&amp;G2&amp;"'"&amp;"!A:A"),"承租人权益价值",INDIRECT("'"&amp;G2&amp;"'"&amp;"!c:c")))</f>
        <v>0</v>
      </c>
      <c r="F2" s="1336" t="s">
        <v>1432</v>
      </c>
      <c r="G2" s="1337"/>
    </row>
    <row r="3" spans="1:10" s="95" customFormat="1" ht="16" thickBot="1">
      <c r="A3" s="98" t="s">
        <v>672</v>
      </c>
      <c r="B3" s="2523">
        <f ca="1">ROUND(D3/(IF(B1="",'数据-汇总表'!E3,INDIRECT("'数据-取费表'!k"&amp;$G$1))),0)</f>
        <v>4825</v>
      </c>
      <c r="C3" s="94" t="s">
        <v>1434</v>
      </c>
      <c r="D3" s="94">
        <f ca="1">IF(C1="含税",E2+C33,E2+C32)</f>
        <v>57904320</v>
      </c>
      <c r="E3" s="2510"/>
      <c r="F3" s="94"/>
      <c r="G3" s="94"/>
    </row>
    <row r="4" spans="1:10" s="95" customFormat="1" ht="16" thickBot="1">
      <c r="A4" s="2567" t="s">
        <v>3329</v>
      </c>
      <c r="B4" s="2568" t="s">
        <v>3330</v>
      </c>
      <c r="C4" s="2507" t="s">
        <v>3953</v>
      </c>
      <c r="D4" s="2543" t="s">
        <v>3335</v>
      </c>
      <c r="E4" s="2544" t="s">
        <v>3336</v>
      </c>
      <c r="F4" s="2544" t="s">
        <v>3337</v>
      </c>
      <c r="G4" s="2508" t="s">
        <v>3331</v>
      </c>
    </row>
    <row r="5" spans="1:10" s="103" customFormat="1" ht="15.5">
      <c r="A5" s="2545" t="s">
        <v>3328</v>
      </c>
      <c r="B5" s="2546" t="s">
        <v>3332</v>
      </c>
      <c r="C5" s="2520">
        <f ca="1">ROUND((C6+C9+C21+C24+C25+C28)/(1-F22-C26-C29),0)</f>
        <v>80322246</v>
      </c>
      <c r="D5" s="2547"/>
      <c r="E5" s="2547"/>
      <c r="F5" s="2547"/>
      <c r="G5" s="2699" t="s">
        <v>3471</v>
      </c>
      <c r="J5" s="95"/>
    </row>
    <row r="6" spans="1:10" s="2533" customFormat="1" ht="15.5">
      <c r="A6" s="2512" t="s">
        <v>3338</v>
      </c>
      <c r="B6" s="2571" t="s">
        <v>3339</v>
      </c>
      <c r="C6" s="2548">
        <f>C7+C8</f>
        <v>0</v>
      </c>
      <c r="D6" s="2511"/>
      <c r="E6" s="2511"/>
      <c r="F6" s="2511"/>
      <c r="G6" s="2549"/>
      <c r="J6" s="95"/>
    </row>
    <row r="7" spans="1:10" s="109" customFormat="1" ht="15.5">
      <c r="A7" s="2550" t="s">
        <v>344</v>
      </c>
      <c r="B7" s="2572" t="s">
        <v>1442</v>
      </c>
      <c r="C7" s="3020"/>
      <c r="D7" s="2551"/>
      <c r="E7" s="2552"/>
      <c r="F7" s="2552"/>
      <c r="G7" s="156"/>
      <c r="J7" s="95"/>
    </row>
    <row r="8" spans="1:10" s="109" customFormat="1" ht="15.5">
      <c r="A8" s="2550" t="s">
        <v>345</v>
      </c>
      <c r="B8" s="2572" t="s">
        <v>1444</v>
      </c>
      <c r="C8" s="2521">
        <f>ROUND(C7*F8,0)</f>
        <v>0</v>
      </c>
      <c r="D8" s="144"/>
      <c r="E8" s="2552"/>
      <c r="F8" s="2553">
        <f>IF(项目基本情况!B8="出让",0,'数据-取费表'!B49+'数据-取费表'!B50)</f>
        <v>3.0499999999999999E-2</v>
      </c>
      <c r="G8" s="156"/>
      <c r="J8" s="95"/>
    </row>
    <row r="9" spans="1:10" s="2533" customFormat="1" ht="15.5">
      <c r="A9" s="2554" t="s">
        <v>336</v>
      </c>
      <c r="B9" s="2573" t="s">
        <v>3287</v>
      </c>
      <c r="C9" s="2534">
        <f ca="1">C10+C11+C12+C13+C19+C20</f>
        <v>64597478</v>
      </c>
      <c r="D9" s="2555"/>
      <c r="E9" s="2556"/>
      <c r="F9" s="2557"/>
      <c r="G9" s="2558"/>
      <c r="J9" s="95"/>
    </row>
    <row r="10" spans="1:10" s="109" customFormat="1" ht="15.5">
      <c r="A10" s="2574" t="s">
        <v>344</v>
      </c>
      <c r="B10" s="2575" t="s">
        <v>3322</v>
      </c>
      <c r="C10" s="2521">
        <f ca="1">ROUND(IF(B1="",SUMPRODUCT('数据-取费表'!K6:K14,'数据-取费表'!L6:L14),INDIRECT("'数据-取费表'!l"&amp;$G$1)*INDIRECT("'数据-取费表'!k"&amp;$G$1)+'数据-取费表'!L14*INDIRECT("'数据-取费表'!S"&amp;$G$1)),0)</f>
        <v>52801012</v>
      </c>
      <c r="D10" s="2551"/>
      <c r="E10" s="144"/>
      <c r="F10" s="2559">
        <f ca="1">IF('数据-取费表'!B24=0,1,IF(B1="",'数据-取费表'!N16,INDIRECT("'数据-取费表'!n"&amp;$G$1)))</f>
        <v>1</v>
      </c>
      <c r="G10" s="156" t="s">
        <v>1467</v>
      </c>
      <c r="J10" s="95"/>
    </row>
    <row r="11" spans="1:10" s="109" customFormat="1" ht="15.5">
      <c r="A11" s="2574" t="s">
        <v>349</v>
      </c>
      <c r="B11" s="2575" t="s">
        <v>3323</v>
      </c>
      <c r="C11" s="2521">
        <f ca="1">ROUND(C10*F11,0)</f>
        <v>3168061</v>
      </c>
      <c r="D11" s="144"/>
      <c r="E11" s="144"/>
      <c r="F11" s="2532">
        <f>'数据-取费表'!B33</f>
        <v>0.06</v>
      </c>
      <c r="G11" s="156" t="s">
        <v>1469</v>
      </c>
      <c r="J11" s="95"/>
    </row>
    <row r="12" spans="1:10" s="109" customFormat="1" ht="15.5">
      <c r="A12" s="2574" t="s">
        <v>350</v>
      </c>
      <c r="B12" s="2575" t="s">
        <v>3324</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2" t="s">
        <v>3996</v>
      </c>
      <c r="J12" s="95"/>
    </row>
    <row r="13" spans="1:10" s="109" customFormat="1" ht="15.5">
      <c r="A13" s="2574" t="s">
        <v>3288</v>
      </c>
      <c r="B13" s="2575" t="s">
        <v>3325</v>
      </c>
      <c r="C13" s="2521">
        <f ca="1">C14+C17+C18</f>
        <v>8100395</v>
      </c>
      <c r="D13" s="144"/>
      <c r="E13" s="2552"/>
      <c r="F13" s="2553"/>
      <c r="G13" s="156"/>
      <c r="J13" s="95"/>
    </row>
    <row r="14" spans="1:10" s="118" customFormat="1" ht="15.5">
      <c r="A14" s="2505" t="s">
        <v>3289</v>
      </c>
      <c r="B14" s="2576" t="s">
        <v>3321</v>
      </c>
      <c r="C14" s="2521">
        <f ca="1">IF(G14="已包含在土地购买价格中","0",IF(B1="",'数据-取费表'!B29,IF(G15="全部缴纳",C15+C16,H15)))</f>
        <v>240</v>
      </c>
      <c r="D14" s="2560"/>
      <c r="E14" s="144"/>
      <c r="F14" s="2553"/>
      <c r="G14" s="1338"/>
      <c r="J14" s="95"/>
    </row>
    <row r="15" spans="1:10" s="109" customFormat="1" ht="15.5">
      <c r="A15" s="2577" t="s">
        <v>353</v>
      </c>
      <c r="B15" s="2578" t="s">
        <v>1447</v>
      </c>
      <c r="C15" s="2561">
        <f ca="1">ROUND(D15*E15,0)</f>
        <v>0</v>
      </c>
      <c r="D15" s="2561">
        <f ca="1">IF(B1="",'数据-汇总表'!E5,IF(INDIRECT("'数据-取费表'!c"&amp;$G$1)="住宅",INDIRECT("'数据-取费表'!k"&amp;$G$1),0))</f>
        <v>0</v>
      </c>
      <c r="E15" s="2561">
        <f>'数据-取费表'!B27</f>
        <v>0</v>
      </c>
      <c r="F15" s="2553"/>
      <c r="G15" s="1339"/>
      <c r="H15" s="762"/>
      <c r="I15" s="1340" t="s">
        <v>1448</v>
      </c>
      <c r="J15" s="95"/>
    </row>
    <row r="16" spans="1:10" s="109" customFormat="1" ht="15.5">
      <c r="A16" s="2577" t="s">
        <v>354</v>
      </c>
      <c r="B16" s="2578" t="s">
        <v>1449</v>
      </c>
      <c r="C16" s="2561">
        <f ca="1">ROUND(D16*E16,0)</f>
        <v>2400046</v>
      </c>
      <c r="D16" s="2561">
        <f ca="1">IF(B1="",'数据-汇总表'!E6,IF(INDIRECT("'数据-取费表'!c"&amp;$G$1)="住宅",INDIRECT("'数据-取费表'!s"&amp;$G$1),INDIRECT("'数据-取费表'!k"&amp;$G$1)+INDIRECT("'数据-取费表'!s"&amp;$G$1)))</f>
        <v>12000.230000000001</v>
      </c>
      <c r="E16" s="2561">
        <f>'数据-取费表'!B28</f>
        <v>200</v>
      </c>
      <c r="F16" s="2553"/>
      <c r="G16" s="121"/>
      <c r="J16" s="95"/>
    </row>
    <row r="17" spans="1:10" s="109" customFormat="1" ht="15.5">
      <c r="A17" s="2505" t="s">
        <v>3290</v>
      </c>
      <c r="B17" s="2579" t="s">
        <v>3295</v>
      </c>
      <c r="C17" s="2521">
        <f ca="1">IF(G17="已包含在土地取得成本中","0",ROUND(D17*E17,0))</f>
        <v>4500086</v>
      </c>
      <c r="D17" s="2562">
        <f ca="1">D15+D16</f>
        <v>12000.230000000001</v>
      </c>
      <c r="E17" s="2562">
        <f>'数据-取费表'!B31</f>
        <v>375</v>
      </c>
      <c r="F17" s="2529"/>
      <c r="G17" s="1338"/>
      <c r="J17" s="95"/>
    </row>
    <row r="18" spans="1:10" s="109" customFormat="1" ht="15.5">
      <c r="A18" s="2580" t="s">
        <v>3291</v>
      </c>
      <c r="B18" s="2579" t="s">
        <v>1472</v>
      </c>
      <c r="C18" s="2521">
        <f ca="1">ROUND(E18*D18*F10,0)</f>
        <v>3600069</v>
      </c>
      <c r="D18" s="2521">
        <f ca="1">D17</f>
        <v>12000.230000000001</v>
      </c>
      <c r="E18" s="2521">
        <f>'数据-取费表'!B35</f>
        <v>300</v>
      </c>
      <c r="F18" s="2532"/>
      <c r="G18" s="156" t="str">
        <f ca="1">IF(F10=100%,"","按工程进度计取")</f>
        <v/>
      </c>
      <c r="J18" s="95"/>
    </row>
    <row r="19" spans="1:10" s="109" customFormat="1" ht="15.5">
      <c r="A19" s="2574" t="s">
        <v>352</v>
      </c>
      <c r="B19" s="2575" t="s">
        <v>3326</v>
      </c>
      <c r="C19" s="2521">
        <f ca="1">ROUND(C10*F19,0)</f>
        <v>528010</v>
      </c>
      <c r="D19" s="144"/>
      <c r="E19" s="144"/>
      <c r="F19" s="2532">
        <f>'数据-取费表'!B36</f>
        <v>0.01</v>
      </c>
      <c r="G19" s="156" t="s">
        <v>1469</v>
      </c>
      <c r="J19" s="95"/>
    </row>
    <row r="20" spans="1:10" s="109" customFormat="1" ht="15.5">
      <c r="A20" s="2574" t="s">
        <v>3292</v>
      </c>
      <c r="B20" s="2575" t="s">
        <v>3327</v>
      </c>
      <c r="C20" s="2521">
        <f ca="1">ROUND(C10*F20,0)</f>
        <v>0</v>
      </c>
      <c r="D20" s="2563"/>
      <c r="E20" s="140"/>
      <c r="F20" s="2532">
        <f>'数据-取费表'!B37</f>
        <v>0</v>
      </c>
      <c r="G20" s="156" t="s">
        <v>1469</v>
      </c>
      <c r="J20" s="95"/>
    </row>
    <row r="21" spans="1:10" s="2533" customFormat="1" ht="15.5">
      <c r="A21" s="2512" t="s">
        <v>3340</v>
      </c>
      <c r="B21" s="2571" t="s">
        <v>3341</v>
      </c>
      <c r="C21" s="2534">
        <f ca="1">ROUND((C6+C9)*F21,0)</f>
        <v>1291950</v>
      </c>
      <c r="D21" s="2535"/>
      <c r="E21" s="2535"/>
      <c r="F21" s="2539">
        <f>'数据-取费表'!B38</f>
        <v>0.02</v>
      </c>
      <c r="G21" s="2536" t="s">
        <v>3342</v>
      </c>
      <c r="J21" s="95"/>
    </row>
    <row r="22" spans="1:10" s="2533" customFormat="1" ht="15.5">
      <c r="A22" s="2512" t="s">
        <v>3343</v>
      </c>
      <c r="B22" s="2571" t="s">
        <v>3344</v>
      </c>
      <c r="C22" s="2537" t="str">
        <f>F22&amp;"V"</f>
        <v>0.02V</v>
      </c>
      <c r="D22" s="296"/>
      <c r="E22" s="2535"/>
      <c r="F22" s="2539">
        <f>'数据-取费表'!B39</f>
        <v>0.02</v>
      </c>
      <c r="G22" s="3531" t="s">
        <v>3989</v>
      </c>
      <c r="J22" s="95"/>
    </row>
    <row r="23" spans="1:10" s="2533" customFormat="1" ht="15.5">
      <c r="A23" s="2512" t="s">
        <v>3345</v>
      </c>
      <c r="B23" s="2573" t="s">
        <v>3296</v>
      </c>
      <c r="C23" s="2513" t="str">
        <f ca="1">SUM(C24:C25)&amp;"+"&amp;C26&amp;"V"</f>
        <v>2637735+0.0008V</v>
      </c>
      <c r="D23" s="2538"/>
      <c r="E23" s="296"/>
      <c r="F23" s="2539">
        <f ca="1">'数据-取费表'!B41</f>
        <v>3.1899999999999998E-2</v>
      </c>
      <c r="G23" s="2536" t="str">
        <f>IF('数据-取费表'!B22&lt;=1,"单利计息","复利计息")</f>
        <v>复利计息</v>
      </c>
      <c r="J23" s="95"/>
    </row>
    <row r="24" spans="1:10" s="109" customFormat="1" ht="15.5">
      <c r="A24" s="2581" t="s">
        <v>344</v>
      </c>
      <c r="B24" s="2579" t="s">
        <v>1452</v>
      </c>
      <c r="C24" s="2527">
        <f ca="1">ROUND(IF('数据-取费表'!B22&lt;=1,C6*F23*'数据-取费表'!B23,C6*(POWER((1+F23),'数据-取费表'!B23)-1)),0)</f>
        <v>0</v>
      </c>
      <c r="D24" s="133"/>
      <c r="E24" s="133"/>
      <c r="F24" s="2528"/>
      <c r="G24" s="3912" t="s">
        <v>3990</v>
      </c>
      <c r="J24" s="95"/>
    </row>
    <row r="25" spans="1:10" s="109" customFormat="1" ht="15.5">
      <c r="A25" s="2581" t="s">
        <v>345</v>
      </c>
      <c r="B25" s="2579" t="s">
        <v>3297</v>
      </c>
      <c r="C25" s="2527">
        <f ca="1">ROUND(IF('数据-取费表'!B22&lt;=1,(C9+C21)*F23*'数据-取费表'!B23/2,(C9+C21)*(POWER((1+F23),'数据-取费表'!B23/2)-1)),0)</f>
        <v>2637735</v>
      </c>
      <c r="D25" s="133"/>
      <c r="E25" s="133"/>
      <c r="F25" s="2528"/>
      <c r="G25" s="3912" t="s">
        <v>3991</v>
      </c>
      <c r="J25" s="95"/>
    </row>
    <row r="26" spans="1:10" s="109" customFormat="1" ht="15.5">
      <c r="A26" s="2581" t="s">
        <v>348</v>
      </c>
      <c r="B26" s="2579" t="s">
        <v>1454</v>
      </c>
      <c r="C26" s="2524">
        <f ca="1">ROUND(IF('数据-取费表'!B22&lt;=1,F22*F23*'数据-取费表'!B23/2,F22*(POWER((1+F23),'数据-取费表'!B23/2)-1)),4)</f>
        <v>8.0000000000000004E-4</v>
      </c>
      <c r="D26" s="133"/>
      <c r="E26" s="136"/>
      <c r="F26" s="2528"/>
      <c r="G26" s="4226" t="s">
        <v>3992</v>
      </c>
      <c r="J26" s="95"/>
    </row>
    <row r="27" spans="1:10" s="2533" customFormat="1" ht="15.5">
      <c r="A27" s="2512" t="s">
        <v>3346</v>
      </c>
      <c r="B27" s="2573" t="s">
        <v>3298</v>
      </c>
      <c r="C27" s="2540" t="str">
        <f ca="1">C28&amp;"+"&amp;C29&amp;"V"</f>
        <v>9883414+0.003V</v>
      </c>
      <c r="D27" s="2538"/>
      <c r="E27" s="296"/>
      <c r="F27" s="2541">
        <f ca="1">IF(B1="",'数据-取费表'!Q16,INDIRECT("'数据-取费表'!q"&amp;$G$1))</f>
        <v>0.15</v>
      </c>
      <c r="G27" s="2536" t="s">
        <v>3998</v>
      </c>
      <c r="J27" s="95"/>
    </row>
    <row r="28" spans="1:10" s="109" customFormat="1" ht="15.5">
      <c r="A28" s="2574" t="s">
        <v>344</v>
      </c>
      <c r="B28" s="2579" t="s">
        <v>1459</v>
      </c>
      <c r="C28" s="2506">
        <f ca="1">ROUND(C6*F27*'数据-取费表'!B23/'数据-取费表'!B22+(C9+C21)*F27,0)</f>
        <v>9883414</v>
      </c>
      <c r="D28" s="130"/>
      <c r="E28" s="131"/>
      <c r="F28" s="2529"/>
      <c r="G28" s="142" t="str">
        <f ca="1">IF(F10=100%,"","其中：土地取得成本产生的利润按已建工期计算")</f>
        <v/>
      </c>
      <c r="J28" s="95"/>
    </row>
    <row r="29" spans="1:10" s="109" customFormat="1" ht="15.5">
      <c r="A29" s="2574" t="s">
        <v>345</v>
      </c>
      <c r="B29" s="2579" t="s">
        <v>1460</v>
      </c>
      <c r="C29" s="2524">
        <f ca="1">ROUND(F22*F27,4)</f>
        <v>3.0000000000000001E-3</v>
      </c>
      <c r="D29" s="130"/>
      <c r="E29" s="131"/>
      <c r="F29" s="2529"/>
      <c r="G29" s="142"/>
      <c r="J29" s="95"/>
    </row>
    <row r="30" spans="1:10" s="2533" customFormat="1" ht="15.5">
      <c r="A30" s="2512" t="s">
        <v>3347</v>
      </c>
      <c r="B30" s="2571" t="s">
        <v>3348</v>
      </c>
      <c r="C30" s="2534">
        <v>0</v>
      </c>
      <c r="D30" s="296"/>
      <c r="E30" s="2514"/>
      <c r="F30" s="2539"/>
      <c r="G30" s="2542" t="s">
        <v>3299</v>
      </c>
      <c r="J30" s="95"/>
    </row>
    <row r="31" spans="1:10" s="109" customFormat="1" ht="15.5">
      <c r="A31" s="2582">
        <v>2</v>
      </c>
      <c r="B31" s="2583" t="s">
        <v>3300</v>
      </c>
      <c r="C31" s="2525">
        <f ca="1">C57</f>
        <v>22417926</v>
      </c>
      <c r="D31" s="2516"/>
      <c r="E31" s="2516"/>
      <c r="F31" s="2530">
        <f>IF('数据-取费表'!B24=0,'数据-取费表'!N16,1)</f>
        <v>0.7</v>
      </c>
      <c r="G31" s="2517" t="s">
        <v>3810</v>
      </c>
      <c r="J31" s="95"/>
    </row>
    <row r="32" spans="1:10" s="109" customFormat="1" ht="15.5">
      <c r="A32" s="2504" t="s">
        <v>3301</v>
      </c>
      <c r="B32" s="2503" t="s">
        <v>3302</v>
      </c>
      <c r="C32" s="2525">
        <f ca="1">C5-C31</f>
        <v>57904320</v>
      </c>
      <c r="D32" s="2516"/>
      <c r="E32" s="2516"/>
      <c r="F32" s="2515"/>
      <c r="G32" s="2518" t="s">
        <v>3333</v>
      </c>
      <c r="J32" s="95"/>
    </row>
    <row r="33" spans="1:10" s="109" customFormat="1" ht="16" thickBot="1">
      <c r="A33" s="2584">
        <v>4</v>
      </c>
      <c r="B33" s="2585" t="s">
        <v>3334</v>
      </c>
      <c r="C33" s="2526">
        <f ca="1">ROUND(C32*(1+F33),0)</f>
        <v>63115709</v>
      </c>
      <c r="D33" s="2519"/>
      <c r="E33" s="2519"/>
      <c r="F33" s="2531">
        <f>IF(G33="其他类型公式—成本价值×（1+9%）",9%,3%)</f>
        <v>0.09</v>
      </c>
      <c r="G33" s="3532" t="s">
        <v>3684</v>
      </c>
      <c r="J33" s="95"/>
    </row>
    <row r="34" spans="1:10" s="118" customFormat="1" ht="15.5">
      <c r="J34" s="95"/>
    </row>
    <row r="35" spans="1:10" s="109" customFormat="1" ht="13"/>
    <row r="36" spans="1:10" s="109" customFormat="1" ht="13"/>
    <row r="37" spans="1:10" s="109" customFormat="1" ht="13"/>
    <row r="38" spans="1:10" ht="14.5" thickBot="1">
      <c r="A38" s="2770" t="s">
        <v>3303</v>
      </c>
      <c r="B38" s="2771"/>
      <c r="C38" s="2771"/>
      <c r="D38" s="2771"/>
      <c r="E38" s="2771"/>
      <c r="F38" s="2771"/>
      <c r="G38" s="2772"/>
    </row>
    <row r="39" spans="1:10" ht="14.5" thickBot="1">
      <c r="A39" s="4111" t="s">
        <v>3329</v>
      </c>
      <c r="B39" s="2773" t="s">
        <v>3330</v>
      </c>
      <c r="C39" s="2775" t="s">
        <v>3953</v>
      </c>
      <c r="D39" s="2776" t="s">
        <v>3453</v>
      </c>
      <c r="E39" s="2777" t="s">
        <v>3454</v>
      </c>
      <c r="F39" s="2777" t="s">
        <v>3455</v>
      </c>
      <c r="G39" s="2778" t="s">
        <v>3331</v>
      </c>
    </row>
    <row r="40" spans="1:10" ht="14">
      <c r="A40" s="2632" t="s">
        <v>3456</v>
      </c>
      <c r="B40" s="4116" t="s">
        <v>3304</v>
      </c>
      <c r="C40" s="2781">
        <f ca="1">SUM(C41:C46)</f>
        <v>60097152</v>
      </c>
      <c r="D40" s="2779"/>
      <c r="E40" s="2779"/>
      <c r="F40" s="2779"/>
      <c r="G40" s="3984"/>
    </row>
    <row r="41" spans="1:10" ht="15.5">
      <c r="A41" s="4112" t="s">
        <v>3305</v>
      </c>
      <c r="B41" s="4117" t="str">
        <f t="shared" ref="B41:C43" si="0">B10</f>
        <v xml:space="preserve">  建安费用</v>
      </c>
      <c r="C41" s="2501">
        <f t="shared" ca="1" si="0"/>
        <v>52801012</v>
      </c>
      <c r="D41" s="2496"/>
      <c r="E41" s="2496"/>
      <c r="F41" s="2497"/>
      <c r="G41" s="3985"/>
    </row>
    <row r="42" spans="1:10" ht="15.5">
      <c r="A42" s="4112" t="s">
        <v>3306</v>
      </c>
      <c r="B42" s="4117" t="str">
        <f t="shared" si="0"/>
        <v xml:space="preserve">  前期费用</v>
      </c>
      <c r="C42" s="2501">
        <f t="shared" ca="1" si="0"/>
        <v>3168061</v>
      </c>
      <c r="D42" s="2496"/>
      <c r="E42" s="2496"/>
      <c r="F42" s="2497"/>
      <c r="G42" s="3985"/>
    </row>
    <row r="43" spans="1:10" ht="15.5">
      <c r="A43" s="4112" t="s">
        <v>3370</v>
      </c>
      <c r="B43" s="4118" t="str">
        <f t="shared" si="0"/>
        <v xml:space="preserve">  公共配套设施费用</v>
      </c>
      <c r="C43" s="2501">
        <f t="shared" ca="1" si="0"/>
        <v>0</v>
      </c>
      <c r="D43" s="2496"/>
      <c r="E43" s="2496"/>
      <c r="F43" s="2497"/>
      <c r="G43" s="3985"/>
    </row>
    <row r="44" spans="1:10" ht="15.5">
      <c r="A44" s="4112" t="s">
        <v>3288</v>
      </c>
      <c r="B44" s="4118" t="str">
        <f>B18</f>
        <v>红线内市政费用</v>
      </c>
      <c r="C44" s="2501">
        <f ca="1">C18</f>
        <v>3600069</v>
      </c>
      <c r="D44" s="2496"/>
      <c r="E44" s="2496"/>
      <c r="F44" s="2497"/>
      <c r="G44" s="3985"/>
    </row>
    <row r="45" spans="1:10" ht="15.5">
      <c r="A45" s="4113" t="s">
        <v>3307</v>
      </c>
      <c r="B45" s="4119" t="str">
        <f>B19</f>
        <v xml:space="preserve">  其他工程费</v>
      </c>
      <c r="C45" s="2506">
        <f ca="1">C19</f>
        <v>528010</v>
      </c>
      <c r="D45" s="2629"/>
      <c r="E45" s="2629"/>
      <c r="F45" s="2509"/>
      <c r="G45" s="3986"/>
    </row>
    <row r="46" spans="1:10" ht="15.5">
      <c r="A46" s="4113" t="s">
        <v>3369</v>
      </c>
      <c r="B46" s="4119" t="s">
        <v>3308</v>
      </c>
      <c r="C46" s="2506">
        <f ca="1">C20</f>
        <v>0</v>
      </c>
      <c r="D46" s="2629"/>
      <c r="E46" s="2629"/>
      <c r="F46" s="2509"/>
      <c r="G46" s="3986"/>
    </row>
    <row r="47" spans="1:10" ht="14">
      <c r="A47" s="4114" t="s">
        <v>3457</v>
      </c>
      <c r="B47" s="4114" t="s">
        <v>3458</v>
      </c>
      <c r="C47" s="2633">
        <f ca="1">ROUND(C40*F47,0)</f>
        <v>1201943</v>
      </c>
      <c r="D47" s="2634"/>
      <c r="E47" s="2634"/>
      <c r="F47" s="2635">
        <f>F21</f>
        <v>0.02</v>
      </c>
      <c r="G47" s="2636" t="s">
        <v>3459</v>
      </c>
    </row>
    <row r="48" spans="1:10" ht="14">
      <c r="A48" s="4114" t="s">
        <v>3460</v>
      </c>
      <c r="B48" s="4114" t="s">
        <v>3461</v>
      </c>
      <c r="C48" s="2637" t="str">
        <f>F48&amp;"V建1"</f>
        <v>0.02V建1</v>
      </c>
      <c r="D48" s="2634"/>
      <c r="E48" s="2634"/>
      <c r="F48" s="2635">
        <f>F22</f>
        <v>0.02</v>
      </c>
      <c r="G48" s="4227" t="s">
        <v>3993</v>
      </c>
    </row>
    <row r="49" spans="1:7" ht="14">
      <c r="A49" s="4114" t="s">
        <v>3462</v>
      </c>
      <c r="B49" s="4120" t="s">
        <v>3368</v>
      </c>
      <c r="C49" s="2534" t="str">
        <f ca="1">C50&amp;"+"&amp;C51&amp;"V建1"</f>
        <v>2453971+0.0008V建1</v>
      </c>
      <c r="D49" s="296"/>
      <c r="E49" s="296"/>
      <c r="F49" s="2639">
        <f ca="1">F23</f>
        <v>3.1899999999999998E-2</v>
      </c>
      <c r="G49" s="3987" t="str">
        <f>IF('数据-取费表'!B22&lt;=1,"单利计息","复利计息")</f>
        <v>复利计息</v>
      </c>
    </row>
    <row r="50" spans="1:7" ht="13">
      <c r="A50" s="4112" t="s">
        <v>3305</v>
      </c>
      <c r="B50" s="4121" t="s">
        <v>3372</v>
      </c>
      <c r="C50" s="2650">
        <f ca="1">ROUND(IF('数据-取费表'!B22&lt;=1,(C40+C47)*F49*'数据-取费表'!B22/2,(C40+C47)*(POWER((1+F49),'数据-取费表'!B22/2)-1)),0)</f>
        <v>2453971</v>
      </c>
      <c r="D50" s="1011"/>
      <c r="E50" s="1011"/>
      <c r="F50" s="994"/>
      <c r="G50" s="4501" t="str">
        <f ca="1">IF(F10=100%,"建设期均匀投入","已建工期均匀投入")</f>
        <v>建设期均匀投入</v>
      </c>
    </row>
    <row r="51" spans="1:7" ht="13">
      <c r="A51" s="4112" t="s">
        <v>3306</v>
      </c>
      <c r="B51" s="4118" t="s">
        <v>3311</v>
      </c>
      <c r="C51" s="2651">
        <f ca="1">ROUND(IF('数据-取费表'!B22&lt;=1,F48*F23*'数据-取费表'!B22/2,F48*(POWER((1+F23),'数据-取费表'!B22/2)-1)),4)</f>
        <v>8.0000000000000004E-4</v>
      </c>
      <c r="D51" s="1011"/>
      <c r="E51" s="1011"/>
      <c r="F51" s="994"/>
      <c r="G51" s="4502"/>
    </row>
    <row r="52" spans="1:7" ht="14.5">
      <c r="A52" s="4114" t="s">
        <v>3463</v>
      </c>
      <c r="B52" s="2770" t="s">
        <v>3312</v>
      </c>
      <c r="C52" s="2641" t="str">
        <f ca="1">C53&amp;"+"&amp;C54&amp;"V建1"</f>
        <v>9194864+0.003V建1</v>
      </c>
      <c r="D52" s="2642"/>
      <c r="E52" s="2634"/>
      <c r="F52" s="2643">
        <f ca="1">F27</f>
        <v>0.15</v>
      </c>
      <c r="G52" s="2644" t="s">
        <v>3464</v>
      </c>
    </row>
    <row r="53" spans="1:7" ht="13">
      <c r="A53" s="4112" t="s">
        <v>3305</v>
      </c>
      <c r="B53" s="4121" t="s">
        <v>3313</v>
      </c>
      <c r="C53" s="2501">
        <f ca="1">ROUND((C40+C47)*F27,0)</f>
        <v>9194864</v>
      </c>
      <c r="D53" s="2502"/>
      <c r="E53" s="2498"/>
      <c r="F53" s="2499"/>
      <c r="G53" s="2500"/>
    </row>
    <row r="54" spans="1:7" ht="13">
      <c r="A54" s="4112" t="s">
        <v>3306</v>
      </c>
      <c r="B54" s="4121" t="s">
        <v>3314</v>
      </c>
      <c r="C54" s="2565">
        <f ca="1">ROUND(F48*F27,4)</f>
        <v>3.0000000000000001E-3</v>
      </c>
      <c r="D54" s="2502"/>
      <c r="E54" s="2498"/>
      <c r="F54" s="2499"/>
      <c r="G54" s="2500"/>
    </row>
    <row r="55" spans="1:7" ht="14">
      <c r="A55" s="4115" t="s">
        <v>3465</v>
      </c>
      <c r="B55" s="2512" t="s">
        <v>3466</v>
      </c>
      <c r="C55" s="3988">
        <v>0</v>
      </c>
      <c r="D55" s="2538"/>
      <c r="E55" s="296"/>
      <c r="F55" s="2639"/>
      <c r="G55" s="2646" t="s">
        <v>3317</v>
      </c>
    </row>
    <row r="56" spans="1:7" ht="17">
      <c r="A56" s="4115" t="s">
        <v>3470</v>
      </c>
      <c r="B56" s="4115" t="s">
        <v>3467</v>
      </c>
      <c r="C56" s="2534">
        <f ca="1">ROUND((C40+C47+C50+C53)/(1-F48-C51-C54),0)</f>
        <v>74726419</v>
      </c>
      <c r="D56" s="296"/>
      <c r="E56" s="296"/>
      <c r="F56" s="2647"/>
      <c r="G56" s="2646" t="s">
        <v>3318</v>
      </c>
    </row>
    <row r="57" spans="1:7" ht="14">
      <c r="A57" s="4115" t="s">
        <v>3434</v>
      </c>
      <c r="B57" s="4122" t="s">
        <v>3300</v>
      </c>
      <c r="C57" s="2534">
        <f ca="1">ROUND(C56*(1-F57),0)</f>
        <v>22417926</v>
      </c>
      <c r="D57" s="296"/>
      <c r="E57" s="296"/>
      <c r="F57" s="2647">
        <f>F31</f>
        <v>0.7</v>
      </c>
      <c r="G57" s="2646" t="s">
        <v>3319</v>
      </c>
    </row>
    <row r="58" spans="1:7" ht="17">
      <c r="A58" s="4115" t="s">
        <v>3468</v>
      </c>
      <c r="B58" s="4115" t="s">
        <v>3469</v>
      </c>
      <c r="C58" s="2534">
        <f ca="1">C56-C57</f>
        <v>52308493</v>
      </c>
      <c r="D58" s="296"/>
      <c r="E58" s="296"/>
      <c r="F58" s="2647"/>
      <c r="G58" s="2646" t="s">
        <v>3320</v>
      </c>
    </row>
    <row r="59" spans="1:7" ht="14.5" thickBot="1">
      <c r="A59" s="2645" t="s">
        <v>3371</v>
      </c>
      <c r="B59" s="4123" t="s">
        <v>3316</v>
      </c>
      <c r="C59" s="3991">
        <f ca="1">ROUND(C58*(1+F59),0)</f>
        <v>57016257</v>
      </c>
      <c r="D59" s="3992"/>
      <c r="E59" s="3992"/>
      <c r="F59" s="3993">
        <f>F33</f>
        <v>0.09</v>
      </c>
      <c r="G59" s="3994" t="s">
        <v>3994</v>
      </c>
    </row>
    <row r="60" spans="1:7" ht="15">
      <c r="A60" s="2494"/>
      <c r="B60" s="2495"/>
    </row>
    <row r="62" spans="1:7" ht="21" customHeight="1">
      <c r="B62" s="2564" t="s">
        <v>1498</v>
      </c>
      <c r="C62" s="166"/>
    </row>
    <row r="63" spans="1:7" ht="21" customHeight="1">
      <c r="B63" s="55" t="s">
        <v>787</v>
      </c>
      <c r="C63" s="4060">
        <f ca="1">1-C64</f>
        <v>9.6999999999999975E-2</v>
      </c>
    </row>
    <row r="64" spans="1:7" ht="21" customHeight="1">
      <c r="B64" s="55" t="s">
        <v>788</v>
      </c>
      <c r="C64" s="4061">
        <f ca="1">ROUND(C58/C32,3)</f>
        <v>0.90300000000000002</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89" t="str">
        <f>项目基本情况!B1</f>
        <v>北京市东城区朝阳门北大街8号房地产抵押价值预评估</v>
      </c>
      <c r="C37" s="4289"/>
      <c r="D37" s="4289"/>
      <c r="E37" s="4289"/>
      <c r="F37" s="4289"/>
      <c r="G37" s="4289"/>
      <c r="H37" s="4289"/>
      <c r="I37" s="4289"/>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8776.9105</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7314</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23030656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2400046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2400046</v>
      </c>
      <c r="D10" s="538">
        <f ca="1">IF(B1="",'数据-汇总表'!E6,IF(INDIRECT("'数据-取费表'!c"&amp;$G$1)="住宅",INDIRECT("'数据-取费表'!s"&amp;$G$1),INDIRECT("'数据-取费表'!k"&amp;$G$1)+INDIRECT("'数据-取费表'!s"&amp;$G$1)))</f>
        <v>12000.230000000001</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4500086</v>
      </c>
      <c r="D19" s="107">
        <f ca="1">D9+D10</f>
        <v>12000.230000000001</v>
      </c>
      <c r="E19" s="106">
        <f>'数据-取费表'!B31</f>
        <v>375</v>
      </c>
      <c r="F19" s="126"/>
      <c r="G19" s="1338"/>
    </row>
    <row r="20" spans="1:7" s="109" customFormat="1" ht="13.5" customHeight="1">
      <c r="A20" s="150" t="s">
        <v>1510</v>
      </c>
      <c r="B20" s="105" t="s">
        <v>1511</v>
      </c>
      <c r="C20" s="127">
        <f ca="1">ROUND((C5+C19)*F20,0)</f>
        <v>550615</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2270427</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1880870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367514</v>
      </c>
      <c r="D24" s="133"/>
      <c r="E24" s="133"/>
      <c r="F24" s="134"/>
      <c r="G24" s="135" t="s">
        <v>1522</v>
      </c>
    </row>
    <row r="25" spans="1:7" s="109" customFormat="1" ht="26">
      <c r="A25" s="513" t="s">
        <v>1445</v>
      </c>
      <c r="B25" s="110" t="s">
        <v>1523</v>
      </c>
      <c r="C25" s="133">
        <f ca="1">ROUND(IF('数据-取费表'!B22&lt;=1,C20*F22*'数据-取费表'!B22/2,C20*(POWER((1+F22),'数据-取费表'!B22/2)-1)),0)</f>
        <v>22043</v>
      </c>
      <c r="D25" s="133"/>
      <c r="E25" s="136"/>
      <c r="F25" s="134"/>
      <c r="G25" s="137" t="s">
        <v>1524</v>
      </c>
    </row>
    <row r="26" spans="1:7" s="109" customFormat="1" ht="13">
      <c r="A26" s="513" t="s">
        <v>348</v>
      </c>
      <c r="B26" s="110" t="s">
        <v>1454</v>
      </c>
      <c r="C26" s="133">
        <f ca="1">ROUND(IF('数据-取费表'!B22&lt;=1,F21*F22*'数据-取费表'!B22/2,F21*(POWER((1+F22),'数据-取费表'!B22/2)-1)),4)</f>
        <v>8.0000000000000004E-4</v>
      </c>
      <c r="D26" s="133"/>
      <c r="E26" s="136"/>
      <c r="F26" s="134"/>
      <c r="G26" s="138"/>
    </row>
    <row r="27" spans="1:7" s="109" customFormat="1" ht="27">
      <c r="A27" s="150" t="s">
        <v>1455</v>
      </c>
      <c r="B27" s="139" t="s">
        <v>1456</v>
      </c>
      <c r="C27" s="140">
        <f ca="1">C28</f>
        <v>4212204</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4212204</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35428442</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60097152</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52801012</v>
      </c>
      <c r="D34" s="112"/>
      <c r="E34" s="115"/>
      <c r="F34" s="152"/>
      <c r="G34" s="114"/>
    </row>
    <row r="35" spans="1:7" ht="13.5" customHeight="1">
      <c r="A35" s="513" t="s">
        <v>349</v>
      </c>
      <c r="B35" s="110" t="s">
        <v>1468</v>
      </c>
      <c r="C35" s="115">
        <f ca="1">ROUND(C34*F35,0)</f>
        <v>3168061</v>
      </c>
      <c r="D35" s="115"/>
      <c r="E35" s="115"/>
      <c r="F35" s="154">
        <f>'数据-取费表'!B33</f>
        <v>0.06</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3600069</v>
      </c>
      <c r="D37" s="112">
        <f ca="1">D19</f>
        <v>12000.230000000001</v>
      </c>
      <c r="E37" s="144">
        <f>'数据-取费表'!B35</f>
        <v>300</v>
      </c>
      <c r="F37" s="154"/>
      <c r="G37" s="156"/>
    </row>
    <row r="38" spans="1:7" ht="13.5" customHeight="1">
      <c r="A38" s="513" t="s">
        <v>352</v>
      </c>
      <c r="B38" s="110" t="s">
        <v>1473</v>
      </c>
      <c r="C38" s="115">
        <f ca="1">ROUND(C34*F38,0)</f>
        <v>528010</v>
      </c>
      <c r="D38" s="115"/>
      <c r="E38" s="115"/>
      <c r="F38" s="154">
        <f>'数据-取费表'!B36</f>
        <v>0.01</v>
      </c>
      <c r="G38" s="114" t="s">
        <v>1469</v>
      </c>
    </row>
    <row r="39" spans="1:7" s="109" customFormat="1" ht="13.5" customHeight="1">
      <c r="A39" s="150" t="s">
        <v>1474</v>
      </c>
      <c r="B39" s="105" t="s">
        <v>1475</v>
      </c>
      <c r="C39" s="127">
        <f ca="1">ROUND(C33*F20,0)</f>
        <v>1201943</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2453971</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2405854</v>
      </c>
      <c r="D42" s="133"/>
      <c r="E42" s="133"/>
      <c r="F42" s="134"/>
      <c r="G42" s="4501" t="s">
        <v>1527</v>
      </c>
    </row>
    <row r="43" spans="1:7" ht="13.5" customHeight="1">
      <c r="A43" s="513" t="s">
        <v>345</v>
      </c>
      <c r="B43" s="110" t="s">
        <v>1484</v>
      </c>
      <c r="C43" s="133">
        <f ca="1">ROUND(IF('数据-取费表'!B22&lt;=1,C39*F22*'数据-取费表'!B20/2,C39*(POWER((1+F22),'数据-取费表'!B20/2)-1)),0)</f>
        <v>48117</v>
      </c>
      <c r="D43" s="133"/>
      <c r="E43" s="133"/>
      <c r="F43" s="134"/>
      <c r="G43" s="4503"/>
    </row>
    <row r="44" spans="1:7" ht="13.5" customHeight="1">
      <c r="A44" s="513" t="s">
        <v>346</v>
      </c>
      <c r="B44" s="110" t="s">
        <v>1485</v>
      </c>
      <c r="C44" s="133">
        <f ca="1">ROUND(IF('数据-取费表'!B22&lt;=1,C40*F22*'数据-取费表'!B20/2,C40*(POWER((1+F22),'数据-取费表'!B20/2)-1)),4)</f>
        <v>8.0000000000000004E-4</v>
      </c>
      <c r="D44" s="133"/>
      <c r="E44" s="133"/>
      <c r="F44" s="134"/>
      <c r="G44" s="4502"/>
    </row>
    <row r="45" spans="1:7" s="109" customFormat="1" ht="13.5" customHeight="1">
      <c r="A45" s="150" t="s">
        <v>1486</v>
      </c>
      <c r="B45" s="139" t="s">
        <v>1456</v>
      </c>
      <c r="C45" s="140">
        <f ca="1">C46</f>
        <v>9194864</v>
      </c>
      <c r="D45" s="130">
        <f ca="1">C47</f>
        <v>3.0000000000000001E-3</v>
      </c>
      <c r="E45" s="131" t="s">
        <v>1479</v>
      </c>
      <c r="F45" s="141">
        <f ca="1">F27</f>
        <v>0.15</v>
      </c>
      <c r="G45" s="142" t="s">
        <v>1487</v>
      </c>
    </row>
    <row r="46" spans="1:7" s="109" customFormat="1" ht="13.5" customHeight="1">
      <c r="A46" s="513" t="s">
        <v>344</v>
      </c>
      <c r="B46" s="143" t="s">
        <v>1488</v>
      </c>
      <c r="C46" s="144">
        <f ca="1">ROUND((C33+C39)*F27,0)</f>
        <v>9194864</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74772376</v>
      </c>
      <c r="D49" s="127"/>
      <c r="E49" s="127"/>
      <c r="F49" s="159"/>
      <c r="G49" s="129" t="s">
        <v>1492</v>
      </c>
    </row>
    <row r="50" spans="1:7" s="153" customFormat="1" ht="13.5">
      <c r="A50" s="150" t="s">
        <v>1493</v>
      </c>
      <c r="B50" s="105" t="s">
        <v>1494</v>
      </c>
      <c r="C50" s="127"/>
      <c r="D50" s="127"/>
      <c r="E50" s="127"/>
      <c r="F50" s="159">
        <f>IF('数据-取费表'!B24=0,'数据-取费表'!N16,1)</f>
        <v>0.7</v>
      </c>
      <c r="G50" s="142"/>
    </row>
    <row r="51" spans="1:7" ht="16.5" customHeight="1">
      <c r="A51" s="150" t="s">
        <v>1495</v>
      </c>
      <c r="B51" s="105" t="s">
        <v>1529</v>
      </c>
      <c r="C51" s="127">
        <f ca="1">ROUND(C49*F50,0)</f>
        <v>52340663</v>
      </c>
      <c r="D51" s="127"/>
      <c r="E51" s="127"/>
      <c r="F51" s="159"/>
      <c r="G51" s="129" t="s">
        <v>1496</v>
      </c>
    </row>
    <row r="52" spans="1:7" s="103" customFormat="1" ht="16.5" thickBot="1">
      <c r="A52" s="160" t="s">
        <v>1497</v>
      </c>
      <c r="B52" s="161"/>
      <c r="C52" s="162">
        <f ca="1">C31+C51</f>
        <v>87769105</v>
      </c>
      <c r="D52" s="161"/>
      <c r="E52" s="161"/>
      <c r="F52" s="161"/>
      <c r="G52" s="163"/>
    </row>
    <row r="55" spans="1:7" ht="15.5">
      <c r="B55" s="165" t="s">
        <v>1498</v>
      </c>
      <c r="C55" s="166"/>
    </row>
    <row r="56" spans="1:7" ht="13">
      <c r="B56" s="168" t="s">
        <v>787</v>
      </c>
      <c r="C56" s="170">
        <f ca="1">1-C57</f>
        <v>0.40400000000000003</v>
      </c>
    </row>
    <row r="57" spans="1:7" ht="13">
      <c r="B57" s="168" t="s">
        <v>788</v>
      </c>
      <c r="C57" s="169">
        <f ca="1">ROUND(C51/C52,3)</f>
        <v>0.59599999999999997</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6"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7</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3" customFormat="1" ht="18" customHeight="1">
      <c r="A4" s="2723" t="s">
        <v>3879</v>
      </c>
      <c r="B4" s="2724" t="s">
        <v>3880</v>
      </c>
      <c r="C4" s="3570" t="s">
        <v>3988</v>
      </c>
      <c r="D4" s="2724" t="s">
        <v>3881</v>
      </c>
      <c r="E4" s="4000" t="s">
        <v>3882</v>
      </c>
      <c r="F4" s="4062"/>
      <c r="G4" s="4051"/>
      <c r="H4" s="2723" t="s">
        <v>3879</v>
      </c>
      <c r="I4" s="2724" t="s">
        <v>3880</v>
      </c>
      <c r="J4" s="3570" t="s">
        <v>3988</v>
      </c>
      <c r="K4" s="2724" t="s">
        <v>3881</v>
      </c>
      <c r="L4" s="4064" t="s">
        <v>3882</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3403</v>
      </c>
      <c r="C5" s="4094">
        <f ca="1">C6+C10+C12</f>
        <v>0</v>
      </c>
      <c r="D5" s="4003" t="s">
        <v>3885</v>
      </c>
      <c r="E5" s="4004"/>
      <c r="F5" s="4005"/>
      <c r="G5" s="4002"/>
      <c r="H5" s="183">
        <v>1</v>
      </c>
      <c r="I5" s="184" t="s">
        <v>3920</v>
      </c>
      <c r="J5" s="4094">
        <f ca="1">J6+J10+J12</f>
        <v>0</v>
      </c>
      <c r="K5" s="4003" t="s">
        <v>3885</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3796</v>
      </c>
      <c r="C6" s="4219">
        <f ca="1">C7-C9</f>
        <v>0</v>
      </c>
      <c r="D6" s="2715" t="s">
        <v>3800</v>
      </c>
      <c r="E6" s="2713" t="s">
        <v>3983</v>
      </c>
      <c r="F6" s="3420">
        <f ca="1">INDIRECT("'数据-取费表'!u"&amp;$G$1)</f>
        <v>0</v>
      </c>
      <c r="G6" s="935"/>
      <c r="H6" s="707" t="s">
        <v>392</v>
      </c>
      <c r="I6" s="2714" t="s">
        <v>3796</v>
      </c>
      <c r="J6" s="2702">
        <f ca="1">J7-J9</f>
        <v>0</v>
      </c>
      <c r="K6" s="2715" t="s">
        <v>3800</v>
      </c>
      <c r="L6" s="2713" t="s">
        <v>3983</v>
      </c>
      <c r="M6" s="3438">
        <f ca="1">INDIRECT("'数据-取费表'!z"&amp;$G$1)</f>
        <v>0</v>
      </c>
    </row>
    <row r="7" spans="1:37" ht="18" customHeight="1">
      <c r="A7" s="4504" t="s">
        <v>391</v>
      </c>
      <c r="B7" s="4510" t="s">
        <v>3794</v>
      </c>
      <c r="C7" s="4512">
        <f ca="1">ROUND(F6*F7*F8,0)</f>
        <v>0</v>
      </c>
      <c r="D7" s="4509" t="s">
        <v>3472</v>
      </c>
      <c r="E7" s="714" t="s">
        <v>682</v>
      </c>
      <c r="F7" s="2761">
        <f ca="1">IF(INDIRECT("'数据-取费表'!ah"&amp;$G$1)="",INDIRECT("'数据-取费表'!k"&amp;$G$1),INDIRECT("'数据-取费表'!ah"&amp;$G$1))</f>
        <v>0</v>
      </c>
      <c r="G7" s="935"/>
      <c r="H7" s="4504" t="s">
        <v>391</v>
      </c>
      <c r="I7" s="4510" t="s">
        <v>3794</v>
      </c>
      <c r="J7" s="4508">
        <f ca="1">ROUND(M6*M8*M7,0)</f>
        <v>0</v>
      </c>
      <c r="K7" s="4509" t="s">
        <v>3472</v>
      </c>
      <c r="L7" s="186" t="s">
        <v>682</v>
      </c>
      <c r="M7" s="4218">
        <f ca="1">F7</f>
        <v>0</v>
      </c>
    </row>
    <row r="8" spans="1:37" ht="18" customHeight="1">
      <c r="A8" s="4505"/>
      <c r="B8" s="4511"/>
      <c r="C8" s="4512"/>
      <c r="D8" s="4509"/>
      <c r="E8" s="186" t="str">
        <f ca="1">IF(F8=1,"年",IF(F8=12,"月","天"))</f>
        <v>天</v>
      </c>
      <c r="F8" s="3413">
        <f ca="1">INDIRECT("'数据-取费表'!ai"&amp;$G$1)</f>
        <v>0</v>
      </c>
      <c r="G8" s="935"/>
      <c r="H8" s="4505"/>
      <c r="I8" s="4511"/>
      <c r="J8" s="4508"/>
      <c r="K8" s="4509"/>
      <c r="L8" s="186" t="str">
        <f ca="1">IF(M8=1,"年",IF(M8=12,"月","天"))</f>
        <v>天</v>
      </c>
      <c r="M8" s="3440">
        <f ca="1">INDIRECT("'数据-取费表'!ai"&amp;$G$1)</f>
        <v>0</v>
      </c>
    </row>
    <row r="9" spans="1:37" ht="18" customHeight="1">
      <c r="A9" s="2700" t="s">
        <v>3402</v>
      </c>
      <c r="B9" s="4087" t="s">
        <v>3795</v>
      </c>
      <c r="C9" s="4094">
        <f ca="1">ROUND(C7*F9,0)</f>
        <v>0</v>
      </c>
      <c r="D9" s="2715" t="s">
        <v>3799</v>
      </c>
      <c r="E9" s="186" t="s">
        <v>684</v>
      </c>
      <c r="F9" s="2767">
        <f ca="1">INDIRECT("'数据-取费表'!w"&amp;$G$1)</f>
        <v>0</v>
      </c>
      <c r="G9" s="935"/>
      <c r="H9" s="2700" t="s">
        <v>3402</v>
      </c>
      <c r="I9" s="4087" t="s">
        <v>3795</v>
      </c>
      <c r="J9" s="2743">
        <f ca="1">ROUND(J7*M9,0)</f>
        <v>0</v>
      </c>
      <c r="K9" s="2715" t="s">
        <v>3799</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3">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3677</v>
      </c>
      <c r="B13" s="717" t="s">
        <v>3921</v>
      </c>
      <c r="C13" s="3854">
        <f ca="1">ROUND(C14+C22+C24+C26,0)</f>
        <v>0</v>
      </c>
      <c r="D13" s="4223" t="s">
        <v>3922</v>
      </c>
      <c r="E13" s="4007"/>
      <c r="F13" s="4005"/>
      <c r="G13" s="4002"/>
      <c r="H13" s="716" t="s">
        <v>3677</v>
      </c>
      <c r="I13" s="717" t="s">
        <v>3921</v>
      </c>
      <c r="J13" s="3854">
        <f ca="1">ROUND(J14+J22+J24+J26,0)</f>
        <v>0</v>
      </c>
      <c r="K13" s="4222" t="s">
        <v>3923</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3969</v>
      </c>
      <c r="C14" s="2702">
        <f ca="1">ROUND(IF(AND(项目基本情况!B11="自然人",项目基本情况!B10="北京市",M56="住宅"),C6*F14,C15+C19+C20),2)</f>
        <v>0</v>
      </c>
      <c r="D14" s="900" t="s">
        <v>3446</v>
      </c>
      <c r="E14" s="900" t="str">
        <f>IF(M56="非住宅","","综合税率")</f>
        <v/>
      </c>
      <c r="F14" s="3838" t="str">
        <f>IF(M56="非住宅","",IF(F6*F7*F8/12/(1+'数据-取费表'!F30)&gt;100000,4%,2.5%))</f>
        <v/>
      </c>
      <c r="G14" s="935"/>
      <c r="H14" s="658" t="s">
        <v>392</v>
      </c>
      <c r="I14" s="2713" t="s">
        <v>3974</v>
      </c>
      <c r="J14" s="2702">
        <f ca="1">ROUND(IF(AND(项目基本情况!B11="自然人",项目基本情况!B10="北京市",M56="住宅"),J6*M14/(1+'数据-取费表'!C43),J15+J19+J20),0)</f>
        <v>0</v>
      </c>
      <c r="K14" s="2740" t="s">
        <v>3445</v>
      </c>
      <c r="L14" s="900" t="str">
        <f>E14</f>
        <v/>
      </c>
      <c r="M14" s="3838" t="str">
        <f>IF(M56="非住宅","",IF(M6*M7*M8/12/(1+'数据-取费表'!F30)&gt;100000,4%,2.5%))</f>
        <v/>
      </c>
    </row>
    <row r="15" spans="1:37" s="946" customFormat="1" ht="18" customHeight="1">
      <c r="A15" s="2700" t="s">
        <v>391</v>
      </c>
      <c r="B15" s="2713" t="s">
        <v>3966</v>
      </c>
      <c r="C15" s="2702">
        <f ca="1">C18</f>
        <v>0</v>
      </c>
      <c r="D15" s="2430" t="s">
        <v>3965</v>
      </c>
      <c r="E15" s="4091"/>
      <c r="F15" s="4124"/>
      <c r="G15" s="945"/>
      <c r="H15" s="2700" t="s">
        <v>391</v>
      </c>
      <c r="I15" s="2713" t="s">
        <v>3966</v>
      </c>
      <c r="J15" s="2702">
        <f ca="1">J18</f>
        <v>0</v>
      </c>
      <c r="K15" s="2715" t="s">
        <v>3965</v>
      </c>
      <c r="L15" s="4091"/>
      <c r="M15" s="4124"/>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3289</v>
      </c>
      <c r="B16" s="2717" t="s">
        <v>3405</v>
      </c>
      <c r="C16" s="2650">
        <f ca="1">ROUND(C6*F16,0)</f>
        <v>0</v>
      </c>
      <c r="D16" s="994" t="s">
        <v>3859</v>
      </c>
      <c r="E16" s="2721" t="s">
        <v>3407</v>
      </c>
      <c r="F16" s="2765">
        <v>0.09</v>
      </c>
      <c r="G16" s="935"/>
      <c r="H16" s="2505" t="s">
        <v>3289</v>
      </c>
      <c r="I16" s="2717" t="s">
        <v>3405</v>
      </c>
      <c r="J16" s="2650">
        <f ca="1">ROUND(J6*M16,0)</f>
        <v>0</v>
      </c>
      <c r="K16" s="3979" t="s">
        <v>3860</v>
      </c>
      <c r="L16" s="2721" t="s">
        <v>3407</v>
      </c>
      <c r="M16" s="3436">
        <v>0.09</v>
      </c>
    </row>
    <row r="17" spans="1:37" s="946" customFormat="1" ht="18" customHeight="1">
      <c r="A17" s="2505" t="s">
        <v>3290</v>
      </c>
      <c r="B17" s="2717" t="s">
        <v>3406</v>
      </c>
      <c r="C17" s="3024">
        <f ca="1">ROUND(C22*F16+((C24+C26)*F17),0)</f>
        <v>0</v>
      </c>
      <c r="D17" s="3979" t="s">
        <v>3862</v>
      </c>
      <c r="E17" s="2722"/>
      <c r="F17" s="2765">
        <v>0.06</v>
      </c>
      <c r="G17" s="945"/>
      <c r="H17" s="2505" t="s">
        <v>3290</v>
      </c>
      <c r="I17" s="2717" t="s">
        <v>3406</v>
      </c>
      <c r="J17" s="3024">
        <f ca="1">ROUND(J22*M16+((J24+J26)*M17),0)</f>
        <v>0</v>
      </c>
      <c r="K17" s="3981" t="s">
        <v>3861</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3963</v>
      </c>
      <c r="B18" s="2717" t="s">
        <v>3962</v>
      </c>
      <c r="C18" s="3024">
        <f ca="1">ROUND((C16-C17)*F18,0)</f>
        <v>0</v>
      </c>
      <c r="D18" s="2740" t="s">
        <v>3985</v>
      </c>
      <c r="E18" s="186" t="s">
        <v>3986</v>
      </c>
      <c r="F18" s="2765">
        <f>'数据-取费表'!B44</f>
        <v>0.12000000000000001</v>
      </c>
      <c r="G18" s="945"/>
      <c r="H18" s="2505" t="s">
        <v>3963</v>
      </c>
      <c r="I18" s="2717" t="s">
        <v>3962</v>
      </c>
      <c r="J18" s="3024">
        <f ca="1">ROUND((J16-J17)*M18,0)</f>
        <v>0</v>
      </c>
      <c r="K18" s="2740" t="s">
        <v>3985</v>
      </c>
      <c r="L18" s="186" t="s">
        <v>3986</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3967</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3972</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3968</v>
      </c>
      <c r="C20" s="3025">
        <f ca="1">IF(AND(项目基本情况!B11="自然人",M56="住宅"),"——",ROUND(F20*F21,0))</f>
        <v>0</v>
      </c>
      <c r="D20" s="207" t="s">
        <v>716</v>
      </c>
      <c r="E20" s="186" t="s">
        <v>717</v>
      </c>
      <c r="F20" s="3420">
        <f>'数据-取费表'!B53</f>
        <v>24</v>
      </c>
      <c r="G20" s="935"/>
      <c r="H20" s="4092" t="s">
        <v>666</v>
      </c>
      <c r="I20" s="3926" t="s">
        <v>3968</v>
      </c>
      <c r="J20" s="3025">
        <f ca="1">ROUND(M20*M21,0)</f>
        <v>0</v>
      </c>
      <c r="K20" s="207" t="s">
        <v>716</v>
      </c>
      <c r="L20" s="186" t="s">
        <v>717</v>
      </c>
      <c r="M20" s="3438">
        <f>'数据-取费表'!B53</f>
        <v>24</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f ca="1">ROUND(C51*F22,0)</f>
        <v>0</v>
      </c>
      <c r="D22" s="1776" t="s">
        <v>724</v>
      </c>
      <c r="E22" s="186" t="s">
        <v>697</v>
      </c>
      <c r="F22" s="2767">
        <f ca="1">INDIRECT("'数据-取费表'!Ak"&amp;$G$1)</f>
        <v>0</v>
      </c>
      <c r="G22" s="945"/>
      <c r="H22" s="3860" t="s">
        <v>396</v>
      </c>
      <c r="I22" s="56" t="s">
        <v>723</v>
      </c>
      <c r="J22" s="3880">
        <f ca="1">ROUND(J35*M22,0)</f>
        <v>0</v>
      </c>
      <c r="K22" s="1776" t="s">
        <v>724</v>
      </c>
      <c r="L22" s="186" t="s">
        <v>697</v>
      </c>
      <c r="M22" s="3902">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3" t="s">
        <v>3820</v>
      </c>
      <c r="F23" s="3413">
        <f ca="1">C51</f>
        <v>0</v>
      </c>
      <c r="G23" s="945"/>
      <c r="H23" s="209"/>
      <c r="I23" s="195"/>
      <c r="J23" s="3881"/>
      <c r="K23" s="3927"/>
      <c r="L23" s="2713" t="s">
        <v>3820</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f ca="1">ROUND(C53*F24,0)</f>
        <v>0</v>
      </c>
      <c r="D24" s="1776" t="s">
        <v>3443</v>
      </c>
      <c r="E24" s="186" t="s">
        <v>697</v>
      </c>
      <c r="F24" s="2767">
        <f ca="1">INDIRECT("'数据-取费表'!Al"&amp;$G$1)</f>
        <v>0</v>
      </c>
      <c r="G24" s="935"/>
      <c r="H24" s="3860" t="s">
        <v>431</v>
      </c>
      <c r="I24" s="56" t="s">
        <v>727</v>
      </c>
      <c r="J24" s="3880">
        <f ca="1">ROUND(J37*M24,0)</f>
        <v>0</v>
      </c>
      <c r="K24" s="1776" t="s">
        <v>728</v>
      </c>
      <c r="L24" s="186" t="s">
        <v>697</v>
      </c>
      <c r="M24" s="3902">
        <f ca="1">INDIRECT("'数据-取费表'!Al"&amp;$G$1)</f>
        <v>0</v>
      </c>
    </row>
    <row r="25" spans="1:37" ht="18" customHeight="1">
      <c r="A25" s="209"/>
      <c r="B25" s="195"/>
      <c r="C25" s="3881"/>
      <c r="D25" s="3927"/>
      <c r="E25" s="3926" t="s">
        <v>3821</v>
      </c>
      <c r="F25" s="3413">
        <f ca="1">C53</f>
        <v>0</v>
      </c>
      <c r="G25" s="935"/>
      <c r="H25" s="209"/>
      <c r="I25" s="195"/>
      <c r="J25" s="3881"/>
      <c r="K25" s="3927"/>
      <c r="L25" s="3926" t="s">
        <v>3821</v>
      </c>
      <c r="M25" s="3440">
        <f ca="1">J37</f>
        <v>0</v>
      </c>
    </row>
    <row r="26" spans="1:37" s="946" customFormat="1" ht="18" customHeight="1" thickBot="1">
      <c r="A26" s="726" t="s">
        <v>669</v>
      </c>
      <c r="B26" s="727" t="s">
        <v>713</v>
      </c>
      <c r="C26" s="3027">
        <f ca="1">ROUND(C5*F26,0)</f>
        <v>0</v>
      </c>
      <c r="D26" s="729" t="s">
        <v>3866</v>
      </c>
      <c r="E26" s="727" t="s">
        <v>697</v>
      </c>
      <c r="F26" s="2830">
        <f ca="1">INDIRECT("'数据-取费表'!Am"&amp;$G$1)</f>
        <v>0</v>
      </c>
      <c r="G26" s="945"/>
      <c r="H26" s="726" t="s">
        <v>669</v>
      </c>
      <c r="I26" s="727" t="s">
        <v>713</v>
      </c>
      <c r="J26" s="3027">
        <f ca="1">ROUND(J5*M26,0)</f>
        <v>0</v>
      </c>
      <c r="K26" s="729" t="s">
        <v>3866</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3924</v>
      </c>
      <c r="C27" s="3854">
        <f ca="1">C5-C13</f>
        <v>0</v>
      </c>
      <c r="D27" s="4222" t="s">
        <v>3907</v>
      </c>
      <c r="E27" s="4011"/>
      <c r="F27" s="4012"/>
      <c r="G27" s="498"/>
      <c r="H27" s="716" t="s">
        <v>3301</v>
      </c>
      <c r="I27" s="731" t="s">
        <v>3924</v>
      </c>
      <c r="J27" s="3854">
        <f ca="1">J5-J13</f>
        <v>0</v>
      </c>
      <c r="K27" s="4222" t="s">
        <v>3907</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13" t="e">
        <f ca="1">ROUND(C27*(1-((1+F30)/(1+F28))^F29)/(F28-F30),0)</f>
        <v>#DIV/0!</v>
      </c>
      <c r="D28" s="4014" t="s">
        <v>3925</v>
      </c>
      <c r="E28" s="2725" t="s">
        <v>3893</v>
      </c>
      <c r="F28" s="2767">
        <f ca="1">INDIRECT("'数据-取费表'!I"&amp;$G$1)</f>
        <v>0</v>
      </c>
      <c r="G28" s="4002"/>
      <c r="H28" s="183" t="s">
        <v>3679</v>
      </c>
      <c r="I28" s="3914" t="s">
        <v>3812</v>
      </c>
      <c r="J28" s="3929">
        <f ca="1">IF(J5&lt;&gt;0,ROUND(J27*(1-((1+M30)/(1+M28))^M29)/(M28-M30),0),0)</f>
        <v>0</v>
      </c>
      <c r="K28" s="4014" t="s">
        <v>3925</v>
      </c>
      <c r="L28" s="4015" t="s">
        <v>3893</v>
      </c>
      <c r="M28" s="3434">
        <f ca="1">INDIRECT("'数据-取费表'!I"&amp;$G$1)</f>
        <v>0</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5" t="s">
        <v>3896</v>
      </c>
      <c r="F29" s="2768">
        <f ca="1">IF(INDIRECT("'数据-取费表'!af"&amp;$G$1)=0,INDIRECT("'数据-取费表'!ae"&amp;$G$1),INDIRECT("'数据-取费表'!af"&amp;$G$1))</f>
        <v>0</v>
      </c>
      <c r="G29" s="4002"/>
      <c r="H29" s="188"/>
      <c r="I29" s="189"/>
      <c r="J29" s="3930"/>
      <c r="K29" s="4016"/>
      <c r="L29" s="2725" t="s">
        <v>3896</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3898</v>
      </c>
      <c r="F30" s="2767">
        <f ca="1">INDIRECT("'数据-取费表'!v"&amp;$G$1)</f>
        <v>0</v>
      </c>
      <c r="G30" s="4002"/>
      <c r="H30" s="192"/>
      <c r="I30" s="193"/>
      <c r="J30" s="3931"/>
      <c r="K30" s="731"/>
      <c r="L30" s="2725" t="s">
        <v>3898</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t="e">
        <f ca="1">ROUND(C28*(1+F31),0)</f>
        <v>#DIV/0!</v>
      </c>
      <c r="D31" s="4017" t="s">
        <v>3683</v>
      </c>
      <c r="E31" s="4018" t="str">
        <f>IF(D31="其他类型公式—收益价值×（1+9%）","销项税率","征收率")</f>
        <v>销项税率</v>
      </c>
      <c r="F31" s="4048">
        <f>IF(D31="其他类型公式—收益价值×（1+9%）",9%,3%)</f>
        <v>0.09</v>
      </c>
      <c r="G31" s="498"/>
      <c r="H31" s="199" t="s">
        <v>3680</v>
      </c>
      <c r="I31" s="2725" t="s">
        <v>3900</v>
      </c>
      <c r="J31" s="2743">
        <f ca="1">ROUND(J28/(1+F28)^F29,0)</f>
        <v>0</v>
      </c>
      <c r="K31" s="2684" t="s">
        <v>3926</v>
      </c>
      <c r="L31" s="2725"/>
      <c r="M31" s="4126">
        <f ca="1">INDIRECT("'数据-取费表'!k"&amp;$G$1)</f>
        <v>0</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ROUND(C31/F32,0)</f>
        <v>#DIV/0!</v>
      </c>
      <c r="D32" s="4019" t="s">
        <v>3901</v>
      </c>
      <c r="E32" s="217" t="s">
        <v>3902</v>
      </c>
      <c r="F32" s="2769">
        <f ca="1">INDIRECT("'数据-取费表'!k"&amp;$G$1)</f>
        <v>0</v>
      </c>
      <c r="G32" s="498"/>
      <c r="H32" s="3832" t="s">
        <v>3682</v>
      </c>
      <c r="I32" s="3833" t="s">
        <v>3903</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#DIV/0!</v>
      </c>
      <c r="G33" s="935"/>
    </row>
    <row r="34" spans="1:37" s="118" customFormat="1" ht="18" customHeight="1" thickBot="1">
      <c r="A34" s="3995" t="s">
        <v>3927</v>
      </c>
      <c r="B34" s="3996" t="s">
        <v>3928</v>
      </c>
      <c r="C34" s="3997" t="s">
        <v>3988</v>
      </c>
      <c r="D34" s="3996" t="s">
        <v>3929</v>
      </c>
      <c r="E34" s="3998" t="s">
        <v>3930</v>
      </c>
      <c r="F34" s="3999"/>
      <c r="G34" s="4002"/>
      <c r="H34" s="3995" t="s">
        <v>3927</v>
      </c>
      <c r="I34" s="3996" t="s">
        <v>3928</v>
      </c>
      <c r="J34" s="3997" t="s">
        <v>3988</v>
      </c>
      <c r="K34" s="3996" t="s">
        <v>3929</v>
      </c>
      <c r="L34" s="3998" t="s">
        <v>3930</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3" t="s">
        <v>3408</v>
      </c>
      <c r="B35" s="2724" t="s">
        <v>3409</v>
      </c>
      <c r="C35" s="3415">
        <f ca="1">SUM(C36:C41)</f>
        <v>0</v>
      </c>
      <c r="D35" s="2736" t="s">
        <v>3416</v>
      </c>
      <c r="E35" s="2732"/>
      <c r="F35" s="2733"/>
      <c r="G35" s="935"/>
      <c r="H35" s="2746" t="s">
        <v>3408</v>
      </c>
      <c r="I35" s="2749" t="s">
        <v>3448</v>
      </c>
      <c r="J35" s="2750">
        <f ca="1">C51</f>
        <v>0</v>
      </c>
      <c r="K35" s="3200" t="s">
        <v>3444</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3436</v>
      </c>
      <c r="J36" s="2650">
        <f ca="1">ROUND(J35*(1-M36),0)</f>
        <v>0</v>
      </c>
      <c r="K36" s="186" t="s">
        <v>3439</v>
      </c>
      <c r="L36" s="2715" t="s">
        <v>3451</v>
      </c>
      <c r="M36" s="2767">
        <f ca="1">INDIRECT("'数据-取费表'!ad"&amp;$G$1)</f>
        <v>0</v>
      </c>
    </row>
    <row r="37" spans="1:37" ht="18" customHeight="1" thickBot="1">
      <c r="A37" s="2700" t="s">
        <v>3402</v>
      </c>
      <c r="B37" s="2665" t="s">
        <v>695</v>
      </c>
      <c r="C37" s="2702">
        <f ca="1">ROUND(C36*F37,0)</f>
        <v>0</v>
      </c>
      <c r="D37" s="186" t="s">
        <v>696</v>
      </c>
      <c r="E37" s="186" t="s">
        <v>697</v>
      </c>
      <c r="F37" s="2765">
        <f>'数据-取费表'!B33</f>
        <v>0.06</v>
      </c>
      <c r="G37" s="935"/>
      <c r="H37" s="2748" t="s">
        <v>3427</v>
      </c>
      <c r="I37" s="2753" t="s">
        <v>3438</v>
      </c>
      <c r="J37" s="2754">
        <f ca="1">J35-J36</f>
        <v>0</v>
      </c>
      <c r="K37" s="2734" t="s">
        <v>3473</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3412</v>
      </c>
      <c r="B39" s="2665" t="s">
        <v>701</v>
      </c>
      <c r="C39" s="2702">
        <f ca="1">ROUND(F39*(F32+INDIRECT("'数据-取费表'!S"&amp;$G$1)),0)</f>
        <v>0</v>
      </c>
      <c r="D39" s="186" t="s">
        <v>702</v>
      </c>
      <c r="E39" s="186" t="s">
        <v>3873</v>
      </c>
      <c r="F39" s="3423">
        <f>'数据-取费表'!B35</f>
        <v>300</v>
      </c>
      <c r="G39" s="935"/>
    </row>
    <row r="40" spans="1:37" ht="18" customHeight="1">
      <c r="A40" s="2700" t="s">
        <v>668</v>
      </c>
      <c r="B40" s="2717" t="s">
        <v>3293</v>
      </c>
      <c r="C40" s="2702">
        <f ca="1">ROUND(C36*F40,0)</f>
        <v>0</v>
      </c>
      <c r="D40" s="186" t="s">
        <v>696</v>
      </c>
      <c r="E40" s="186" t="s">
        <v>697</v>
      </c>
      <c r="F40" s="2765">
        <f>'数据-取费表'!B36</f>
        <v>0.01</v>
      </c>
      <c r="G40" s="935"/>
      <c r="H40" s="47"/>
      <c r="I40" s="47"/>
      <c r="J40" s="47"/>
      <c r="K40" s="1861"/>
      <c r="L40" s="47"/>
      <c r="M40" s="47"/>
    </row>
    <row r="41" spans="1:37" ht="18" customHeight="1">
      <c r="A41" s="2700" t="s">
        <v>668</v>
      </c>
      <c r="B41" s="2717" t="s">
        <v>3294</v>
      </c>
      <c r="C41" s="2702">
        <f ca="1">ROUND(C36*F41,0)</f>
        <v>0</v>
      </c>
      <c r="D41" s="186" t="s">
        <v>696</v>
      </c>
      <c r="E41" s="186" t="s">
        <v>697</v>
      </c>
      <c r="F41" s="2765">
        <f>'数据-取费表'!B37</f>
        <v>0</v>
      </c>
      <c r="G41" s="935"/>
      <c r="H41" s="47"/>
      <c r="I41" s="47"/>
      <c r="J41" s="47"/>
      <c r="K41" s="1861"/>
      <c r="L41" s="47"/>
      <c r="M41" s="47"/>
    </row>
    <row r="42" spans="1:37" ht="18" customHeight="1">
      <c r="A42" s="199" t="s">
        <v>3423</v>
      </c>
      <c r="B42" s="2725" t="s">
        <v>3424</v>
      </c>
      <c r="C42" s="2743">
        <f ca="1">ROUND(C35*F42,0)</f>
        <v>0</v>
      </c>
      <c r="D42" s="2726" t="s">
        <v>3425</v>
      </c>
      <c r="E42" s="2725" t="s">
        <v>3426</v>
      </c>
      <c r="F42" s="2767">
        <f>'数据-取费表'!B38</f>
        <v>0.02</v>
      </c>
      <c r="G42" s="935"/>
      <c r="H42" s="47"/>
      <c r="I42" s="47"/>
      <c r="J42" s="47"/>
      <c r="K42" s="1861"/>
      <c r="L42" s="47"/>
      <c r="M42" s="47"/>
    </row>
    <row r="43" spans="1:37" ht="18" customHeight="1">
      <c r="A43" s="199" t="s">
        <v>3427</v>
      </c>
      <c r="B43" s="2725" t="s">
        <v>3428</v>
      </c>
      <c r="C43" s="2790" t="str">
        <f>F43&amp;"V建"</f>
        <v>0.02V建</v>
      </c>
      <c r="D43" s="2726" t="s">
        <v>3429</v>
      </c>
      <c r="E43" s="2725" t="s">
        <v>3430</v>
      </c>
      <c r="F43" s="2767">
        <f>'数据-取费表'!B39</f>
        <v>0.02</v>
      </c>
      <c r="G43" s="935"/>
      <c r="H43" s="47"/>
      <c r="I43" s="47"/>
      <c r="J43" s="47"/>
      <c r="K43" s="1861"/>
      <c r="L43" s="47"/>
      <c r="M43" s="47"/>
    </row>
    <row r="44" spans="1:37" ht="18" customHeight="1">
      <c r="A44" s="199" t="s">
        <v>3431</v>
      </c>
      <c r="B44" s="2728" t="s">
        <v>3368</v>
      </c>
      <c r="C44" s="3416" t="str">
        <f ca="1">C45&amp;"+"&amp;C46&amp;"V建"</f>
        <v>0+0.0008V建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2.5</v>
      </c>
      <c r="G45" s="935"/>
      <c r="H45" s="47"/>
      <c r="I45" s="47"/>
      <c r="J45" s="47"/>
      <c r="K45" s="1861"/>
      <c r="L45" s="47"/>
      <c r="M45" s="47"/>
    </row>
    <row r="46" spans="1:37" ht="18" customHeight="1">
      <c r="A46" s="2700" t="s">
        <v>730</v>
      </c>
      <c r="B46" s="186" t="s">
        <v>731</v>
      </c>
      <c r="C46" s="3414">
        <f ca="1">ROUND(IF('数据-取费表'!B22&lt;=1,F43*F46*F45/2,F43*(POWER((1+F46),F45/2)-1)),4)</f>
        <v>8.0000000000000004E-4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3432</v>
      </c>
      <c r="B47" s="2728" t="s">
        <v>3312</v>
      </c>
      <c r="C47" s="3416" t="str">
        <f ca="1">C48&amp;"+"&amp;C49&amp;"V建"</f>
        <v>0+0V建</v>
      </c>
      <c r="D47" s="2684" t="s">
        <v>3433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3932</v>
      </c>
      <c r="B50" s="2725" t="s">
        <v>3420</v>
      </c>
      <c r="C50" s="2743">
        <f>ROUND(F50/(1+'数据-取费表'!C43),4)</f>
        <v>0</v>
      </c>
      <c r="D50" s="3982" t="s">
        <v>3872</v>
      </c>
      <c r="E50" s="2725"/>
      <c r="F50" s="2767"/>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3933</v>
      </c>
      <c r="B51" s="2725" t="s">
        <v>3934</v>
      </c>
      <c r="C51" s="2743">
        <f ca="1">ROUND((C35+C42+C45+C48)/(1-F43-C46-C49-C50),0)</f>
        <v>0</v>
      </c>
      <c r="D51" s="2739" t="s">
        <v>3444</v>
      </c>
      <c r="E51" s="2725"/>
      <c r="F51" s="2767"/>
      <c r="K51" s="4051"/>
      <c r="Q51" s="4046"/>
    </row>
    <row r="52" spans="1:37" s="4002" customFormat="1" ht="18" customHeight="1">
      <c r="A52" s="2729" t="s">
        <v>3434</v>
      </c>
      <c r="B52" s="2728" t="s">
        <v>3436</v>
      </c>
      <c r="C52" s="2743">
        <f ca="1">ROUND(C51*(1-F52),0)</f>
        <v>0</v>
      </c>
      <c r="D52" s="2725" t="s">
        <v>3935</v>
      </c>
      <c r="E52" s="2725" t="s">
        <v>3936</v>
      </c>
      <c r="F52" s="2767">
        <f ca="1">INDIRECT("'数据-取费表'!y"&amp;$G$1)</f>
        <v>0</v>
      </c>
      <c r="K52" s="4051"/>
      <c r="Q52" s="4046"/>
    </row>
    <row r="53" spans="1:37" s="4002" customFormat="1" ht="18" customHeight="1" thickBot="1">
      <c r="A53" s="2730" t="s">
        <v>3931</v>
      </c>
      <c r="B53" s="2738" t="s">
        <v>3442</v>
      </c>
      <c r="C53" s="2754">
        <f ca="1">C51-C52</f>
        <v>0</v>
      </c>
      <c r="D53" s="2734" t="s">
        <v>3937</v>
      </c>
      <c r="E53" s="217"/>
      <c r="F53" s="2735"/>
      <c r="K53" s="4051"/>
      <c r="Q53" s="4046"/>
    </row>
    <row r="54" spans="1:37" s="935" customFormat="1" ht="18" customHeight="1" thickBot="1">
      <c r="A54" s="949"/>
      <c r="B54" s="949"/>
      <c r="C54" s="950"/>
      <c r="D54" s="949"/>
      <c r="E54" s="949"/>
      <c r="F54" s="949"/>
      <c r="I54" s="2756" t="s">
        <v>3452</v>
      </c>
      <c r="J54" s="494"/>
      <c r="O54" s="1965" t="s">
        <v>793</v>
      </c>
      <c r="P54" s="1008"/>
      <c r="Q54" s="3428"/>
      <c r="R54" s="1008"/>
    </row>
    <row r="55" spans="1:37" s="935" customFormat="1" ht="13.5" thickBot="1">
      <c r="A55" s="2473" t="s">
        <v>3964</v>
      </c>
      <c r="C55" s="4225" t="e">
        <f ca="1">ROUND(IF(D2="含税",C83-C31,C80-C28)/10000,4)</f>
        <v>#DIV/0!</v>
      </c>
      <c r="D55" s="955" t="str">
        <f>C2</f>
        <v>万元</v>
      </c>
      <c r="E55" s="949"/>
      <c r="F55" s="949"/>
      <c r="I55" s="956" t="s">
        <v>795</v>
      </c>
      <c r="J55" s="957"/>
      <c r="K55" s="958"/>
      <c r="L55" s="3898" t="e">
        <f ca="1">IF(M56="住宅",0,IF(L57&gt;J60,L69,J69))</f>
        <v>#DIV/0!</v>
      </c>
      <c r="O55" s="4036" t="s">
        <v>1325</v>
      </c>
      <c r="P55" s="4037" t="s">
        <v>3908</v>
      </c>
      <c r="Q55" s="4057" t="s">
        <v>3909</v>
      </c>
      <c r="R55" s="4038" t="s">
        <v>3910</v>
      </c>
    </row>
    <row r="56" spans="1:37" s="935" customFormat="1" ht="13.5" thickBot="1">
      <c r="A56" s="4023" t="s">
        <v>3879</v>
      </c>
      <c r="B56" s="4024" t="s">
        <v>3880</v>
      </c>
      <c r="C56" s="3997" t="s">
        <v>3988</v>
      </c>
      <c r="D56" s="4024" t="s">
        <v>3881</v>
      </c>
      <c r="E56" s="4025" t="s">
        <v>3882</v>
      </c>
      <c r="F56" s="4052"/>
      <c r="G56" s="490"/>
      <c r="I56" s="963" t="s">
        <v>800</v>
      </c>
      <c r="J56" s="964"/>
      <c r="K56" s="965" t="s">
        <v>801</v>
      </c>
      <c r="L56" s="3899">
        <f ca="1">INDIRECT("'数据-取费表'!d"&amp;$G$1)</f>
        <v>0</v>
      </c>
      <c r="M56" s="931" t="str">
        <f>IF(ISNUMBER(FIND("住宅",C1)),"住宅","非住宅")</f>
        <v>非住宅</v>
      </c>
      <c r="O56" s="4039" t="s">
        <v>397</v>
      </c>
      <c r="P56" s="4043" t="s">
        <v>3948</v>
      </c>
      <c r="Q56" s="4044" t="e">
        <f ca="1">C28+J31</f>
        <v>#DIV/0!</v>
      </c>
      <c r="R56" s="4041" t="s">
        <v>3912</v>
      </c>
    </row>
    <row r="57" spans="1:37" s="935" customFormat="1" ht="42.5" thickBot="1">
      <c r="A57" s="652" t="s">
        <v>432</v>
      </c>
      <c r="B57" s="184" t="s">
        <v>3904</v>
      </c>
      <c r="C57" s="4026">
        <f ca="1">C58+C62+C64</f>
        <v>0</v>
      </c>
      <c r="D57" s="4003" t="s">
        <v>3938</v>
      </c>
      <c r="E57" s="4027"/>
      <c r="F57" s="4053"/>
      <c r="G57" s="490"/>
      <c r="H57" s="491"/>
      <c r="I57" s="970" t="s">
        <v>804</v>
      </c>
      <c r="J57" s="971"/>
      <c r="K57" s="972" t="s">
        <v>805</v>
      </c>
      <c r="L57" s="3888">
        <f ca="1">INDIRECT("'数据-取费表'!f"&amp;$G$1)</f>
        <v>0</v>
      </c>
      <c r="O57" s="4039" t="s">
        <v>398</v>
      </c>
      <c r="P57" s="4040" t="s">
        <v>3913</v>
      </c>
      <c r="Q57" s="4044" t="e">
        <f ca="1">J69</f>
        <v>#DIV/0!</v>
      </c>
      <c r="R57" s="4041" t="s">
        <v>3914</v>
      </c>
    </row>
    <row r="58" spans="1:37" s="935" customFormat="1" ht="15" customHeight="1" thickBot="1">
      <c r="A58" s="3865" t="s">
        <v>3809</v>
      </c>
      <c r="B58" s="2714" t="s">
        <v>3796</v>
      </c>
      <c r="C58" s="2757">
        <f ca="1">C59-C61</f>
        <v>0</v>
      </c>
      <c r="D58" s="2715" t="s">
        <v>3800</v>
      </c>
      <c r="E58" s="2737" t="s">
        <v>3441</v>
      </c>
      <c r="F58" s="2759"/>
      <c r="H58" s="491"/>
      <c r="I58" s="970" t="s">
        <v>808</v>
      </c>
      <c r="J58" s="3886"/>
      <c r="K58" s="972" t="s">
        <v>809</v>
      </c>
      <c r="L58" s="3900"/>
      <c r="O58" s="976" t="s">
        <v>399</v>
      </c>
      <c r="P58" s="4059" t="s">
        <v>3949</v>
      </c>
      <c r="Q58" s="3429">
        <f ca="1">C51</f>
        <v>0</v>
      </c>
      <c r="R58" s="969" t="s">
        <v>803</v>
      </c>
    </row>
    <row r="59" spans="1:37" s="935" customFormat="1" ht="15" customHeight="1" thickBot="1">
      <c r="A59" s="3872" t="s">
        <v>3797</v>
      </c>
      <c r="B59" s="4510" t="s">
        <v>3794</v>
      </c>
      <c r="C59" s="3913">
        <f ca="1">ROUND(F58*F60*F59,0)</f>
        <v>0</v>
      </c>
      <c r="D59" s="4509" t="s">
        <v>3472</v>
      </c>
      <c r="E59" s="698" t="s">
        <v>682</v>
      </c>
      <c r="F59" s="2760">
        <f ca="1">F7</f>
        <v>0</v>
      </c>
      <c r="H59" s="491"/>
      <c r="I59" s="970" t="s">
        <v>811</v>
      </c>
      <c r="J59" s="3904">
        <f>SUMPRODUCT((I72:I74=J56)*(J71:L71=J57)*(J72:L74))</f>
        <v>0</v>
      </c>
      <c r="K59" s="972" t="s">
        <v>812</v>
      </c>
      <c r="L59" s="3900"/>
      <c r="M59" s="978"/>
      <c r="O59" s="976" t="s">
        <v>400</v>
      </c>
      <c r="P59" s="968" t="s">
        <v>813</v>
      </c>
      <c r="Q59" s="3430" t="e">
        <f ca="1">J67</f>
        <v>#DIV/0!</v>
      </c>
      <c r="R59" s="969"/>
    </row>
    <row r="60" spans="1:37" s="935" customFormat="1" ht="15" customHeight="1" thickBot="1">
      <c r="A60" s="4125"/>
      <c r="B60" s="4511"/>
      <c r="C60" s="3853"/>
      <c r="D60" s="4509"/>
      <c r="E60" s="657" t="str">
        <f ca="1">IF(F60=1,"年",IF(F60=12,"月","天"))</f>
        <v>天</v>
      </c>
      <c r="F60" s="2761">
        <f ca="1">F8</f>
        <v>0</v>
      </c>
      <c r="I60" s="980" t="s">
        <v>814</v>
      </c>
      <c r="J60" s="3888">
        <f>IF(J58="",J59,J58+J59-YEAR('数据-取费表'!B2))</f>
        <v>0</v>
      </c>
      <c r="K60" s="981" t="s">
        <v>815</v>
      </c>
      <c r="L60" s="3877">
        <f ca="1">ROUND(-PV(INDIRECT("'数据-取费表'!h"&amp;$G$1),J60,(C27-C52*C88),0),0)</f>
        <v>0</v>
      </c>
      <c r="M60" s="983"/>
      <c r="O60" s="976" t="s">
        <v>401</v>
      </c>
      <c r="P60" s="968" t="s">
        <v>816</v>
      </c>
      <c r="Q60" s="3430">
        <f>J61</f>
        <v>0</v>
      </c>
      <c r="R60" s="969"/>
    </row>
    <row r="61" spans="1:37" s="935" customFormat="1" ht="15" customHeight="1" thickBot="1">
      <c r="A61" s="3852" t="s">
        <v>3798</v>
      </c>
      <c r="B61" s="4087" t="s">
        <v>3795</v>
      </c>
      <c r="C61" s="2758">
        <f ca="1">ROUND(C59*F61,0)</f>
        <v>0</v>
      </c>
      <c r="D61" s="2715" t="s">
        <v>3799</v>
      </c>
      <c r="E61" s="657" t="s">
        <v>684</v>
      </c>
      <c r="F61" s="2762"/>
      <c r="I61" s="984" t="s">
        <v>817</v>
      </c>
      <c r="J61" s="3889"/>
      <c r="K61" s="984" t="s">
        <v>818</v>
      </c>
      <c r="L61" s="3903"/>
      <c r="O61" s="976" t="s">
        <v>402</v>
      </c>
      <c r="P61" s="968" t="s">
        <v>819</v>
      </c>
      <c r="Q61" s="3429">
        <f ca="1">J62</f>
        <v>0</v>
      </c>
      <c r="R61" s="969" t="s">
        <v>820</v>
      </c>
    </row>
    <row r="62" spans="1:37" s="935" customFormat="1" ht="26.5" thickBot="1">
      <c r="A62" s="3875" t="s">
        <v>3449</v>
      </c>
      <c r="B62" s="924" t="s">
        <v>685</v>
      </c>
      <c r="C62" s="2743">
        <f ca="1">ROUND(IF(F62="押一",C58/12*F11,IF(F62="押二",C58/12*2*F11,IF(F62="押三",C58/12*3*F11,C63*F11))),0)</f>
        <v>0</v>
      </c>
      <c r="D62" s="59" t="s">
        <v>2020</v>
      </c>
      <c r="E62" s="197" t="s">
        <v>686</v>
      </c>
      <c r="F62" s="2763"/>
      <c r="I62" s="986" t="s">
        <v>821</v>
      </c>
      <c r="J62" s="3890">
        <f ca="1">IF(M56="住宅",IF(D1="——",MAX(J60,L57),MAX(J60,L57-'数据-取费表'!B24)),IF(D1="——",MIN(J60,L57),MIN(J60,L57-'数据-取费表'!B24)))</f>
        <v>0</v>
      </c>
      <c r="K62" s="4506" t="s">
        <v>822</v>
      </c>
      <c r="L62" s="4507"/>
      <c r="O62" s="4039" t="s">
        <v>403</v>
      </c>
      <c r="P62" s="4043" t="s">
        <v>3950</v>
      </c>
      <c r="Q62" s="4044" t="e">
        <f ca="1">ROUND((Q56+Q57)*(1+F31),0)</f>
        <v>#DIV/0!</v>
      </c>
      <c r="R62" s="4041" t="s">
        <v>3952</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6" t="s">
        <v>1325</v>
      </c>
      <c r="P64" s="4037" t="s">
        <v>3908</v>
      </c>
      <c r="Q64" s="4057" t="s">
        <v>3909</v>
      </c>
      <c r="R64" s="4038" t="s">
        <v>3910</v>
      </c>
    </row>
    <row r="65" spans="1:18" s="935" customFormat="1" ht="40" thickTop="1" thickBot="1">
      <c r="A65" s="199" t="s">
        <v>3939</v>
      </c>
      <c r="B65" s="634" t="s">
        <v>3921</v>
      </c>
      <c r="C65" s="2743">
        <f ca="1">ROUND(C66+C74+C76+C78,0)</f>
        <v>0</v>
      </c>
      <c r="D65" s="634" t="s">
        <v>3940</v>
      </c>
      <c r="E65" s="4054"/>
      <c r="F65" s="638"/>
      <c r="I65" s="996" t="s">
        <v>827</v>
      </c>
      <c r="J65" s="997"/>
      <c r="K65" s="970" t="s">
        <v>828</v>
      </c>
      <c r="L65" s="3888">
        <f ca="1">IF(L57&lt;J60,"——",L57-J62)</f>
        <v>0</v>
      </c>
      <c r="O65" s="4039" t="s">
        <v>397</v>
      </c>
      <c r="P65" s="4043" t="s">
        <v>3948</v>
      </c>
      <c r="Q65" s="4044" t="e">
        <f ca="1">C28+J31</f>
        <v>#DIV/0!</v>
      </c>
      <c r="R65" s="4041" t="s">
        <v>3912</v>
      </c>
    </row>
    <row r="66" spans="1:18" s="935" customFormat="1" ht="26.5" thickBot="1">
      <c r="A66" s="519" t="s">
        <v>392</v>
      </c>
      <c r="B66" s="2695" t="s">
        <v>3974</v>
      </c>
      <c r="C66" s="2702">
        <f ca="1">ROUND(IF(AND(项目基本情况!B11="自然人",项目基本情况!B10="北京市",M56="住宅"),C58*F66,C67+C71+C72),0)</f>
        <v>0</v>
      </c>
      <c r="D66" s="639" t="s">
        <v>3446</v>
      </c>
      <c r="E66" s="639" t="str">
        <f>E14</f>
        <v/>
      </c>
      <c r="F66" s="3838" t="str">
        <f>IF(M56="非住宅","",IF(F58*F59*F60/12/(1+'数据-取费表'!F30)&gt;100000,4%,2.5%))</f>
        <v/>
      </c>
      <c r="I66" s="1002" t="s">
        <v>829</v>
      </c>
      <c r="J66" s="3894">
        <f ca="1">IF(OR(M56="住宅",J60&lt;L57,J65="是"),"——",J60-L57)</f>
        <v>0</v>
      </c>
      <c r="K66" s="970" t="s">
        <v>830</v>
      </c>
      <c r="L66" s="3901">
        <f ca="1">IF(L57&lt;J60,"——",IF(L64="比较法",L58,IF(L64="基准地价",L59,L60)))</f>
        <v>0</v>
      </c>
      <c r="O66" s="4039" t="s">
        <v>398</v>
      </c>
      <c r="P66" s="4040" t="s">
        <v>3915</v>
      </c>
      <c r="Q66" s="4044" t="e">
        <f ca="1">L69</f>
        <v>#DIV/0!</v>
      </c>
      <c r="R66" s="4041" t="s">
        <v>3916</v>
      </c>
    </row>
    <row r="67" spans="1:18" s="935" customFormat="1" ht="26.5" thickBot="1">
      <c r="A67" s="2700" t="s">
        <v>391</v>
      </c>
      <c r="B67" s="2713" t="s">
        <v>3966</v>
      </c>
      <c r="C67" s="2702">
        <f ca="1">C70</f>
        <v>0</v>
      </c>
      <c r="D67" s="2715" t="s">
        <v>3965</v>
      </c>
      <c r="E67" s="4091"/>
      <c r="F67" s="4124"/>
      <c r="I67" s="1002" t="s">
        <v>832</v>
      </c>
      <c r="J67" s="3895" t="e">
        <f ca="1">IF(J64&lt;0.4,0.4,J64)</f>
        <v>#DIV/0!</v>
      </c>
      <c r="K67" s="981" t="s">
        <v>833</v>
      </c>
      <c r="L67" s="3901" t="e">
        <f ca="1">ROUND(POWER(1+L61,L56-L57)*(POWER(1+L61,L57)-1)/(POWER(1+L61,L56)-1),4)</f>
        <v>#DIV/0!</v>
      </c>
      <c r="O67" s="976" t="s">
        <v>399</v>
      </c>
      <c r="P67" s="968" t="s">
        <v>834</v>
      </c>
      <c r="Q67" s="3429">
        <f>IF(L64="比较法",L58,IF(L64="基准地价",L59,0))</f>
        <v>0</v>
      </c>
      <c r="R67" s="969" t="s">
        <v>803</v>
      </c>
    </row>
    <row r="68" spans="1:18" s="935" customFormat="1" ht="26.5" thickBot="1">
      <c r="A68" s="2505" t="s">
        <v>3289</v>
      </c>
      <c r="B68" s="2717" t="s">
        <v>3405</v>
      </c>
      <c r="C68" s="2702">
        <f ca="1">ROUND(C58*F68,0)</f>
        <v>0</v>
      </c>
      <c r="D68" s="994" t="s">
        <v>3868</v>
      </c>
      <c r="E68" s="2721" t="s">
        <v>3407</v>
      </c>
      <c r="F68" s="2765">
        <f>F16</f>
        <v>0.09</v>
      </c>
      <c r="I68" s="1002" t="s">
        <v>835</v>
      </c>
      <c r="J68" s="389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 thickBot="1">
      <c r="A69" s="2505" t="s">
        <v>3290</v>
      </c>
      <c r="B69" s="2717" t="s">
        <v>3406</v>
      </c>
      <c r="C69" s="2702">
        <f ca="1">ROUND(C74*F68+((C76+C78)*F69),0)</f>
        <v>0</v>
      </c>
      <c r="D69" s="3979" t="s">
        <v>3862</v>
      </c>
      <c r="E69" s="2722"/>
      <c r="F69" s="2765">
        <f>F17</f>
        <v>0.06</v>
      </c>
      <c r="I69" s="1005" t="s">
        <v>837</v>
      </c>
      <c r="J69" s="3897" t="e">
        <f ca="1">IF(OR(M56="住宅",J60&lt;L57,J65="是"),"0",ROUND(J68/(1+J61)^J62,0))</f>
        <v>#DIV/0!</v>
      </c>
      <c r="K69" s="1007" t="s">
        <v>838</v>
      </c>
      <c r="L69" s="3897" t="e">
        <f ca="1">IF(OR(M56="住宅",L57&lt;J60),0,ROUND(L66*(L67/L68-1),0))</f>
        <v>#DIV/0!</v>
      </c>
      <c r="O69" s="976" t="s">
        <v>401</v>
      </c>
      <c r="P69" s="968" t="s">
        <v>839</v>
      </c>
      <c r="Q69" s="3432" t="e">
        <f ca="1">L67</f>
        <v>#DIV/0!</v>
      </c>
      <c r="R69" s="969" t="s">
        <v>840</v>
      </c>
    </row>
    <row r="70" spans="1:18" s="935" customFormat="1" ht="13.5" thickBot="1">
      <c r="A70" s="2505" t="s">
        <v>3963</v>
      </c>
      <c r="B70" s="2717" t="s">
        <v>3962</v>
      </c>
      <c r="C70" s="2702">
        <f ca="1">ROUND((C68-C69)*F70,0)</f>
        <v>0</v>
      </c>
      <c r="D70" s="2740" t="s">
        <v>3985</v>
      </c>
      <c r="E70" s="186" t="s">
        <v>3987</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4" thickBot="1">
      <c r="A71" s="2700" t="s">
        <v>766</v>
      </c>
      <c r="B71" s="2695" t="s">
        <v>3972</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9" t="s">
        <v>403</v>
      </c>
      <c r="P71" s="4043" t="s">
        <v>3951</v>
      </c>
      <c r="Q71" s="4044" t="e">
        <f ca="1">ROUND((Q65+Q66)*(1+F31),0)</f>
        <v>#DIV/0!</v>
      </c>
      <c r="R71" s="4041" t="s">
        <v>3952</v>
      </c>
    </row>
    <row r="72" spans="1:18" s="935" customFormat="1" ht="13.5" thickBot="1">
      <c r="A72" s="4092" t="s">
        <v>769</v>
      </c>
      <c r="B72" s="4085" t="s">
        <v>3968</v>
      </c>
      <c r="C72" s="3025">
        <f ca="1">IF(项目基本情况!B11="自然人","——",ROUND(F72*F73,0))</f>
        <v>0</v>
      </c>
      <c r="D72" s="641" t="s">
        <v>771</v>
      </c>
      <c r="E72" s="626" t="s">
        <v>717</v>
      </c>
      <c r="F72" s="3420">
        <f t="shared" si="0"/>
        <v>24</v>
      </c>
      <c r="I72" s="3424" t="s">
        <v>848</v>
      </c>
      <c r="J72" s="223">
        <v>70</v>
      </c>
      <c r="K72" s="223">
        <v>50</v>
      </c>
      <c r="L72" s="223">
        <v>80</v>
      </c>
      <c r="M72" s="1012">
        <v>0.02</v>
      </c>
      <c r="O72" s="952" t="s">
        <v>849</v>
      </c>
      <c r="P72" s="932"/>
      <c r="Q72" s="3431"/>
      <c r="R72" s="932"/>
    </row>
    <row r="73" spans="1:18" s="935" customFormat="1" ht="13.5" thickBot="1">
      <c r="A73" s="4093"/>
      <c r="B73" s="632"/>
      <c r="C73" s="3026"/>
      <c r="D73" s="642"/>
      <c r="E73" s="626" t="s">
        <v>721</v>
      </c>
      <c r="F73" s="3028">
        <f t="shared" ca="1" si="0"/>
        <v>0</v>
      </c>
      <c r="I73" s="3424" t="s">
        <v>850</v>
      </c>
      <c r="J73" s="223">
        <v>50</v>
      </c>
      <c r="K73" s="223">
        <v>35</v>
      </c>
      <c r="L73" s="223">
        <v>60</v>
      </c>
      <c r="M73" s="1011">
        <v>0</v>
      </c>
      <c r="O73" s="4036" t="s">
        <v>1325</v>
      </c>
      <c r="P73" s="4037" t="s">
        <v>3908</v>
      </c>
      <c r="Q73" s="4057" t="s">
        <v>3909</v>
      </c>
      <c r="R73" s="4038" t="s">
        <v>3910</v>
      </c>
    </row>
    <row r="74" spans="1:18" s="935" customFormat="1" ht="13.5" thickBot="1">
      <c r="A74" s="3869" t="s">
        <v>774</v>
      </c>
      <c r="B74" s="625" t="s">
        <v>775</v>
      </c>
      <c r="C74" s="3880">
        <f ca="1">ROUND(F74*F75,0)</f>
        <v>0</v>
      </c>
      <c r="D74" s="3863" t="s">
        <v>724</v>
      </c>
      <c r="E74" s="2695" t="s">
        <v>3808</v>
      </c>
      <c r="F74" s="3877">
        <f ca="1">C51</f>
        <v>0</v>
      </c>
      <c r="I74" s="3424" t="s">
        <v>851</v>
      </c>
      <c r="J74" s="223">
        <v>40</v>
      </c>
      <c r="K74" s="223">
        <v>30</v>
      </c>
      <c r="L74" s="223">
        <v>50</v>
      </c>
      <c r="M74" s="1012">
        <v>0.02</v>
      </c>
      <c r="O74" s="4039" t="s">
        <v>397</v>
      </c>
      <c r="P74" s="4040" t="s">
        <v>3911</v>
      </c>
      <c r="Q74" s="4042" t="e">
        <f ca="1">C28+J31</f>
        <v>#DIV/0!</v>
      </c>
      <c r="R74" s="4041" t="s">
        <v>3912</v>
      </c>
    </row>
    <row r="75" spans="1:18" s="935" customFormat="1" ht="15.5" thickBot="1">
      <c r="A75" s="3871"/>
      <c r="B75" s="632"/>
      <c r="C75" s="3881"/>
      <c r="D75" s="3864"/>
      <c r="E75" s="626" t="s">
        <v>697</v>
      </c>
      <c r="F75" s="2767">
        <f ca="1">F22</f>
        <v>0</v>
      </c>
      <c r="O75" s="4039" t="s">
        <v>398</v>
      </c>
      <c r="P75" s="4040" t="s">
        <v>3915</v>
      </c>
      <c r="Q75" s="4058" t="e">
        <f ca="1">L69</f>
        <v>#DIV/0!</v>
      </c>
      <c r="R75" s="4041" t="s">
        <v>3917</v>
      </c>
    </row>
    <row r="76" spans="1:18" s="935" customFormat="1" ht="13.5" thickBot="1">
      <c r="A76" s="3869" t="s">
        <v>777</v>
      </c>
      <c r="B76" s="625" t="s">
        <v>727</v>
      </c>
      <c r="C76" s="3880">
        <f ca="1">ROUND(F76*F77,0)</f>
        <v>0</v>
      </c>
      <c r="D76" s="3863" t="s">
        <v>3443</v>
      </c>
      <c r="E76" s="2695" t="s">
        <v>3442</v>
      </c>
      <c r="F76" s="3878">
        <f ca="1">C53</f>
        <v>0</v>
      </c>
      <c r="O76" s="967"/>
      <c r="P76" s="968"/>
      <c r="Q76" s="3432"/>
      <c r="R76" s="969"/>
    </row>
    <row r="77" spans="1:18" s="935" customFormat="1" ht="16.5" thickBot="1">
      <c r="A77" s="3871"/>
      <c r="B77" s="632"/>
      <c r="C77" s="3881"/>
      <c r="D77" s="3864"/>
      <c r="E77" s="626" t="s">
        <v>697</v>
      </c>
      <c r="F77" s="2767">
        <f ca="1">F24</f>
        <v>0</v>
      </c>
      <c r="O77" s="976" t="s">
        <v>399</v>
      </c>
      <c r="P77" s="968" t="s">
        <v>834</v>
      </c>
      <c r="Q77" s="3433">
        <f ca="1">L60</f>
        <v>0</v>
      </c>
      <c r="R77" s="969" t="s">
        <v>854</v>
      </c>
    </row>
    <row r="78" spans="1:18" s="4002" customFormat="1" ht="13.5" thickBot="1">
      <c r="A78" s="519" t="s">
        <v>778</v>
      </c>
      <c r="B78" s="626" t="s">
        <v>713</v>
      </c>
      <c r="C78" s="2702">
        <f ca="1">ROUND(C57*F78,0)</f>
        <v>0</v>
      </c>
      <c r="D78" s="640" t="s">
        <v>3866</v>
      </c>
      <c r="E78" s="626" t="s">
        <v>697</v>
      </c>
      <c r="F78" s="2767">
        <f ca="1">F26</f>
        <v>0</v>
      </c>
      <c r="G78" s="935"/>
      <c r="H78" s="935"/>
      <c r="O78" s="976"/>
      <c r="P78" s="968"/>
      <c r="Q78" s="3433"/>
      <c r="R78" s="969"/>
    </row>
    <row r="79" spans="1:18" s="4002" customFormat="1" ht="26.5" thickBot="1">
      <c r="A79" s="633" t="s">
        <v>3941</v>
      </c>
      <c r="B79" s="643" t="s">
        <v>3889</v>
      </c>
      <c r="C79" s="2743">
        <f ca="1">C57-C65</f>
        <v>0</v>
      </c>
      <c r="D79" s="643" t="s">
        <v>3890</v>
      </c>
      <c r="E79" s="4028"/>
      <c r="F79" s="4029"/>
      <c r="O79" s="976" t="s">
        <v>400</v>
      </c>
      <c r="P79" s="1014" t="s">
        <v>3942</v>
      </c>
      <c r="Q79" s="3433">
        <f ca="1">ROUND(Q80-Q81*Q82,0)</f>
        <v>0</v>
      </c>
      <c r="R79" s="969" t="s">
        <v>408</v>
      </c>
    </row>
    <row r="80" spans="1:18" s="4002" customFormat="1" ht="14" thickBot="1">
      <c r="A80" s="3201" t="s">
        <v>388</v>
      </c>
      <c r="B80" s="624" t="s">
        <v>3891</v>
      </c>
      <c r="C80" s="3913" t="e">
        <f ca="1">ROUND(C79*(1-((1+F82)/(1+F80))^F81)/(F80-F82),0)</f>
        <v>#DIV/0!</v>
      </c>
      <c r="D80" s="4030" t="s">
        <v>3892</v>
      </c>
      <c r="E80" s="634" t="s">
        <v>3893</v>
      </c>
      <c r="F80" s="2767">
        <f ca="1">F28</f>
        <v>0</v>
      </c>
      <c r="O80" s="976" t="s">
        <v>405</v>
      </c>
      <c r="P80" s="1014" t="s">
        <v>3943</v>
      </c>
      <c r="Q80" s="3433">
        <f ca="1">C27</f>
        <v>0</v>
      </c>
      <c r="R80" s="969" t="s">
        <v>803</v>
      </c>
    </row>
    <row r="81" spans="1:18" s="4002" customFormat="1" ht="14" thickBot="1">
      <c r="A81" s="3202"/>
      <c r="B81" s="628"/>
      <c r="C81" s="4094"/>
      <c r="D81" s="4031" t="s">
        <v>3897</v>
      </c>
      <c r="E81" s="634" t="s">
        <v>3896</v>
      </c>
      <c r="F81" s="2768">
        <f ca="1">F29</f>
        <v>0</v>
      </c>
      <c r="O81" s="976" t="s">
        <v>406</v>
      </c>
      <c r="P81" s="1014" t="s">
        <v>3944</v>
      </c>
      <c r="Q81" s="3433">
        <f ca="1">C52</f>
        <v>0</v>
      </c>
      <c r="R81" s="969" t="s">
        <v>803</v>
      </c>
    </row>
    <row r="82" spans="1:18" s="4002" customFormat="1" ht="13.5" thickBot="1">
      <c r="A82" s="4055"/>
      <c r="B82" s="4056"/>
      <c r="C82" s="4056"/>
      <c r="D82" s="4032"/>
      <c r="E82" s="634" t="s">
        <v>3898</v>
      </c>
      <c r="F82" s="2762"/>
      <c r="O82" s="976" t="s">
        <v>407</v>
      </c>
      <c r="P82" s="1014" t="s">
        <v>3945</v>
      </c>
      <c r="Q82" s="3430">
        <f ca="1">C88</f>
        <v>0</v>
      </c>
      <c r="R82" s="969"/>
    </row>
    <row r="83" spans="1:18" s="4002" customFormat="1" ht="13.5" thickBot="1">
      <c r="A83" s="630"/>
      <c r="B83" s="2742" t="s">
        <v>3947</v>
      </c>
      <c r="C83" s="3854" t="e">
        <f ca="1">ROUND(C80*(1+F31),0)</f>
        <v>#DIV/0!</v>
      </c>
      <c r="D83" s="4224" t="str">
        <f>D31</f>
        <v>其他类型公式—收益价值×（1+9%）</v>
      </c>
      <c r="E83" s="1018"/>
      <c r="F83" s="4034"/>
      <c r="O83" s="976" t="s">
        <v>401</v>
      </c>
      <c r="P83" s="968" t="s">
        <v>3946</v>
      </c>
      <c r="Q83" s="3430">
        <f>L61</f>
        <v>0</v>
      </c>
      <c r="R83" s="969"/>
    </row>
    <row r="84" spans="1:18" ht="16" thickBot="1">
      <c r="A84" s="647" t="s">
        <v>389</v>
      </c>
      <c r="B84" s="648" t="s">
        <v>761</v>
      </c>
      <c r="C84" s="2754" t="e">
        <f ca="1">ROUND(C83/F84,0)</f>
        <v>#DIV/0!</v>
      </c>
      <c r="D84" s="4035" t="s">
        <v>3901</v>
      </c>
      <c r="E84" s="648" t="s">
        <v>3902</v>
      </c>
      <c r="F84" s="2769">
        <f ca="1">F32</f>
        <v>0</v>
      </c>
      <c r="G84" s="4002"/>
      <c r="H84" s="4002"/>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4" thickBot="1">
      <c r="A86" s="935"/>
      <c r="B86" s="168" t="s">
        <v>859</v>
      </c>
      <c r="C86" s="1016"/>
      <c r="D86" s="935"/>
      <c r="E86" s="935"/>
      <c r="F86" s="935"/>
      <c r="K86" s="951"/>
      <c r="L86" s="935"/>
      <c r="O86" s="4039" t="s">
        <v>403</v>
      </c>
      <c r="P86" s="4043" t="s">
        <v>3951</v>
      </c>
      <c r="Q86" s="4042" t="e">
        <f ca="1">ROUND((Q74+Q75)*(1+F31),0)</f>
        <v>#DIV/0!</v>
      </c>
      <c r="R86" s="4041" t="s">
        <v>3952</v>
      </c>
    </row>
    <row r="87" spans="1:18" ht="13">
      <c r="A87" s="935"/>
      <c r="B87" s="222" t="s">
        <v>780</v>
      </c>
      <c r="C87" s="2831">
        <f ca="1">ROUND(C53*C88,0)</f>
        <v>0</v>
      </c>
      <c r="D87" s="935"/>
      <c r="E87" s="935"/>
      <c r="F87" s="935"/>
      <c r="I87" s="935"/>
      <c r="J87" s="935"/>
      <c r="K87" s="951"/>
      <c r="L87" s="935"/>
    </row>
    <row r="88" spans="1:18" ht="13">
      <c r="B88" s="224" t="s">
        <v>781</v>
      </c>
      <c r="C88" s="2727">
        <f ca="1">INDIRECT("'数据-取费表'!j"&amp;$G$1)</f>
        <v>0</v>
      </c>
      <c r="I88" s="935"/>
      <c r="J88" s="935"/>
      <c r="K88" s="951"/>
      <c r="L88" s="935"/>
    </row>
    <row r="89" spans="1:18" ht="13.5">
      <c r="B89" s="226" t="s">
        <v>782</v>
      </c>
      <c r="C89" s="227"/>
    </row>
    <row r="90" spans="1:18" ht="13.5">
      <c r="B90" s="165" t="s">
        <v>783</v>
      </c>
      <c r="C90" s="228"/>
    </row>
    <row r="91" spans="1:18" ht="13">
      <c r="B91" s="222" t="s">
        <v>784</v>
      </c>
      <c r="C91" s="2832" t="e">
        <f ca="1">1-C92</f>
        <v>#DIV/0!</v>
      </c>
    </row>
    <row r="92" spans="1:18" ht="13">
      <c r="B92" s="222" t="s">
        <v>785</v>
      </c>
      <c r="C92" s="2832" t="e">
        <f ca="1">ROUND(C87/C27,3)</f>
        <v>#DIV/0!</v>
      </c>
    </row>
    <row r="93" spans="1:18" ht="13.5">
      <c r="B93" s="165" t="s">
        <v>786</v>
      </c>
      <c r="C93" s="133"/>
    </row>
    <row r="94" spans="1:18" ht="13">
      <c r="B94" s="168" t="s">
        <v>787</v>
      </c>
      <c r="C94" s="2833" t="e">
        <f ca="1">1-C95</f>
        <v>#DIV/0!</v>
      </c>
    </row>
    <row r="95" spans="1:18" ht="13">
      <c r="B95" s="168" t="s">
        <v>788</v>
      </c>
      <c r="C95" s="2832"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
      <formula>$J$60&gt;$L$57</formula>
    </cfRule>
  </conditionalFormatting>
  <conditionalFormatting sqref="J11">
    <cfRule type="expression" dxfId="133" priority="2">
      <formula>$M$10="自定义"</formula>
    </cfRule>
  </conditionalFormatting>
  <conditionalFormatting sqref="K64 K69">
    <cfRule type="expression" dxfId="13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3" t="s">
        <v>679</v>
      </c>
      <c r="C6" s="712">
        <f ca="1">ROUND(F6*F8*F7*(1-F9),0)</f>
        <v>0</v>
      </c>
      <c r="D6" s="56" t="s">
        <v>2013</v>
      </c>
      <c r="E6" s="186" t="s">
        <v>681</v>
      </c>
      <c r="F6" s="187">
        <f ca="1">INDIRECT("'数据-取费表'!u"&amp;$G$1)</f>
        <v>0</v>
      </c>
      <c r="G6" s="935"/>
      <c r="H6" s="707" t="s">
        <v>392</v>
      </c>
      <c r="I6" s="4513" t="s">
        <v>679</v>
      </c>
      <c r="J6" s="185">
        <f ca="1">ROUND(M6*M8*M7*(1-M9),0)</f>
        <v>0</v>
      </c>
      <c r="K6" s="927" t="s">
        <v>2014</v>
      </c>
      <c r="L6" s="186" t="s">
        <v>681</v>
      </c>
      <c r="M6" s="187">
        <f ca="1">INDIRECT("'数据-取费表'!z"&amp;$G$1)</f>
        <v>0</v>
      </c>
    </row>
    <row r="7" spans="1:37" ht="18" customHeight="1">
      <c r="A7" s="711"/>
      <c r="B7" s="4514"/>
      <c r="C7" s="713"/>
      <c r="D7" s="191"/>
      <c r="E7" s="714" t="s">
        <v>682</v>
      </c>
      <c r="F7" s="187">
        <f ca="1">IF(INDIRECT("'数据-取费表'!ah"&amp;$G$1)="",INDIRECT("'数据-取费表'!k"&amp;$G$1),INDIRECT("'数据-取费表'!ah"&amp;$G$1))</f>
        <v>0</v>
      </c>
      <c r="G7" s="935"/>
      <c r="H7" s="188"/>
      <c r="I7" s="4514"/>
      <c r="J7" s="190"/>
      <c r="K7" s="191"/>
      <c r="L7" s="186" t="s">
        <v>682</v>
      </c>
      <c r="M7" s="187">
        <f ca="1">F7</f>
        <v>0</v>
      </c>
    </row>
    <row r="8" spans="1:37" ht="18" customHeight="1">
      <c r="A8" s="188"/>
      <c r="B8" s="4514"/>
      <c r="C8" s="190"/>
      <c r="D8" s="191"/>
      <c r="E8" s="186" t="s">
        <v>683</v>
      </c>
      <c r="F8" s="187">
        <f ca="1">INDIRECT("'数据-取费表'!ai"&amp;$G$1)</f>
        <v>0</v>
      </c>
      <c r="G8" s="935"/>
      <c r="H8" s="188"/>
      <c r="I8" s="4514"/>
      <c r="J8" s="190"/>
      <c r="K8" s="191"/>
      <c r="L8" s="186" t="s">
        <v>683</v>
      </c>
      <c r="M8" s="187">
        <f ca="1">INDIRECT("'数据-取费表'!ai"&amp;$G$1)</f>
        <v>0</v>
      </c>
    </row>
    <row r="9" spans="1:37" ht="18" customHeight="1">
      <c r="A9" s="188"/>
      <c r="B9" s="4515"/>
      <c r="C9" s="190"/>
      <c r="D9" s="191"/>
      <c r="E9" s="186" t="s">
        <v>684</v>
      </c>
      <c r="F9" s="196">
        <f ca="1">INDIRECT("'数据-取费表'!w"&amp;$G$1)</f>
        <v>0</v>
      </c>
      <c r="G9" s="935"/>
      <c r="H9" s="188"/>
      <c r="I9" s="451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24</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5"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3238</v>
      </c>
      <c r="B45" s="949"/>
      <c r="C45" s="1019" t="e">
        <f ca="1">ROUND((C68-C40)/10000,4)</f>
        <v>#DIV/0!</v>
      </c>
      <c r="D45" s="2474" t="s">
        <v>3239</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06" t="s">
        <v>822</v>
      </c>
      <c r="L53" s="450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453125" style="2066" customWidth="1"/>
    <col min="2" max="2" width="8.90625" style="2066"/>
    <col min="3" max="5" width="12.90625" style="2066" customWidth="1"/>
    <col min="6" max="6" width="47.453125" style="2066" customWidth="1"/>
    <col min="7" max="7" width="13" style="2060" customWidth="1"/>
    <col min="8" max="8" width="8.90625" style="2060"/>
    <col min="9" max="9" width="8.90625" style="2061"/>
    <col min="10" max="10" width="5.7265625" style="2178" customWidth="1"/>
    <col min="11" max="11" width="11.7265625" style="2178" customWidth="1"/>
    <col min="12" max="13" width="10.7265625" style="2178" customWidth="1"/>
    <col min="14" max="14" width="10" style="2178" customWidth="1"/>
    <col min="15" max="16" width="10.453125" style="2178" bestFit="1" customWidth="1"/>
    <col min="17" max="17" width="10" style="2178" customWidth="1"/>
    <col min="18" max="18" width="10.08984375" style="2178" customWidth="1"/>
    <col min="19" max="19" width="10" style="2178" customWidth="1"/>
    <col min="20" max="20" width="26.08984375" style="2178" customWidth="1"/>
    <col min="21" max="21" width="8.90625" style="2178"/>
    <col min="22" max="22" width="8.90625" style="2061"/>
    <col min="23" max="256" width="8.90625" style="2066"/>
    <col min="257" max="257" width="9.453125" style="2066" customWidth="1"/>
    <col min="258" max="258" width="8.90625" style="2066"/>
    <col min="259" max="261" width="12.90625" style="2066" customWidth="1"/>
    <col min="262" max="262" width="47.453125" style="2066" customWidth="1"/>
    <col min="263" max="263" width="13" style="2066" customWidth="1"/>
    <col min="264" max="265" width="8.90625" style="2066"/>
    <col min="266" max="266" width="5.7265625" style="2066" customWidth="1"/>
    <col min="267" max="267" width="11.7265625" style="2066" customWidth="1"/>
    <col min="268" max="269" width="10.7265625" style="2066" customWidth="1"/>
    <col min="270" max="270" width="10" style="2066" customWidth="1"/>
    <col min="271" max="272" width="10.453125" style="2066" bestFit="1" customWidth="1"/>
    <col min="273" max="273" width="10" style="2066" customWidth="1"/>
    <col min="274" max="274" width="10.08984375" style="2066" customWidth="1"/>
    <col min="275" max="275" width="10" style="2066" customWidth="1"/>
    <col min="276" max="276" width="26.08984375" style="2066" customWidth="1"/>
    <col min="277" max="512" width="8.90625" style="2066"/>
    <col min="513" max="513" width="9.453125" style="2066" customWidth="1"/>
    <col min="514" max="514" width="8.90625" style="2066"/>
    <col min="515" max="517" width="12.90625" style="2066" customWidth="1"/>
    <col min="518" max="518" width="47.453125" style="2066" customWidth="1"/>
    <col min="519" max="519" width="13" style="2066" customWidth="1"/>
    <col min="520" max="521" width="8.90625" style="2066"/>
    <col min="522" max="522" width="5.7265625" style="2066" customWidth="1"/>
    <col min="523" max="523" width="11.7265625" style="2066" customWidth="1"/>
    <col min="524" max="525" width="10.7265625" style="2066" customWidth="1"/>
    <col min="526" max="526" width="10" style="2066" customWidth="1"/>
    <col min="527" max="528" width="10.453125" style="2066" bestFit="1" customWidth="1"/>
    <col min="529" max="529" width="10" style="2066" customWidth="1"/>
    <col min="530" max="530" width="10.08984375" style="2066" customWidth="1"/>
    <col min="531" max="531" width="10" style="2066" customWidth="1"/>
    <col min="532" max="532" width="26.08984375" style="2066" customWidth="1"/>
    <col min="533" max="768" width="8.90625" style="2066"/>
    <col min="769" max="769" width="9.453125" style="2066" customWidth="1"/>
    <col min="770" max="770" width="8.90625" style="2066"/>
    <col min="771" max="773" width="12.90625" style="2066" customWidth="1"/>
    <col min="774" max="774" width="47.453125" style="2066" customWidth="1"/>
    <col min="775" max="775" width="13" style="2066" customWidth="1"/>
    <col min="776" max="777" width="8.90625" style="2066"/>
    <col min="778" max="778" width="5.7265625" style="2066" customWidth="1"/>
    <col min="779" max="779" width="11.7265625" style="2066" customWidth="1"/>
    <col min="780" max="781" width="10.7265625" style="2066" customWidth="1"/>
    <col min="782" max="782" width="10" style="2066" customWidth="1"/>
    <col min="783" max="784" width="10.453125" style="2066" bestFit="1" customWidth="1"/>
    <col min="785" max="785" width="10" style="2066" customWidth="1"/>
    <col min="786" max="786" width="10.08984375" style="2066" customWidth="1"/>
    <col min="787" max="787" width="10" style="2066" customWidth="1"/>
    <col min="788" max="788" width="26.08984375" style="2066" customWidth="1"/>
    <col min="789" max="1024" width="8.90625" style="2066"/>
    <col min="1025" max="1025" width="9.453125" style="2066" customWidth="1"/>
    <col min="1026" max="1026" width="8.90625" style="2066"/>
    <col min="1027" max="1029" width="12.90625" style="2066" customWidth="1"/>
    <col min="1030" max="1030" width="47.453125" style="2066" customWidth="1"/>
    <col min="1031" max="1031" width="13" style="2066" customWidth="1"/>
    <col min="1032" max="1033" width="8.90625" style="2066"/>
    <col min="1034" max="1034" width="5.7265625" style="2066" customWidth="1"/>
    <col min="1035" max="1035" width="11.7265625" style="2066" customWidth="1"/>
    <col min="1036" max="1037" width="10.7265625" style="2066" customWidth="1"/>
    <col min="1038" max="1038" width="10" style="2066" customWidth="1"/>
    <col min="1039" max="1040" width="10.453125" style="2066" bestFit="1" customWidth="1"/>
    <col min="1041" max="1041" width="10" style="2066" customWidth="1"/>
    <col min="1042" max="1042" width="10.08984375" style="2066" customWidth="1"/>
    <col min="1043" max="1043" width="10" style="2066" customWidth="1"/>
    <col min="1044" max="1044" width="26.08984375" style="2066" customWidth="1"/>
    <col min="1045" max="1280" width="8.90625" style="2066"/>
    <col min="1281" max="1281" width="9.453125" style="2066" customWidth="1"/>
    <col min="1282" max="1282" width="8.90625" style="2066"/>
    <col min="1283" max="1285" width="12.90625" style="2066" customWidth="1"/>
    <col min="1286" max="1286" width="47.453125" style="2066" customWidth="1"/>
    <col min="1287" max="1287" width="13" style="2066" customWidth="1"/>
    <col min="1288" max="1289" width="8.90625" style="2066"/>
    <col min="1290" max="1290" width="5.7265625" style="2066" customWidth="1"/>
    <col min="1291" max="1291" width="11.7265625" style="2066" customWidth="1"/>
    <col min="1292" max="1293" width="10.7265625" style="2066" customWidth="1"/>
    <col min="1294" max="1294" width="10" style="2066" customWidth="1"/>
    <col min="1295" max="1296" width="10.453125" style="2066" bestFit="1" customWidth="1"/>
    <col min="1297" max="1297" width="10" style="2066" customWidth="1"/>
    <col min="1298" max="1298" width="10.08984375" style="2066" customWidth="1"/>
    <col min="1299" max="1299" width="10" style="2066" customWidth="1"/>
    <col min="1300" max="1300" width="26.08984375" style="2066" customWidth="1"/>
    <col min="1301" max="1536" width="8.90625" style="2066"/>
    <col min="1537" max="1537" width="9.453125" style="2066" customWidth="1"/>
    <col min="1538" max="1538" width="8.90625" style="2066"/>
    <col min="1539" max="1541" width="12.90625" style="2066" customWidth="1"/>
    <col min="1542" max="1542" width="47.453125" style="2066" customWidth="1"/>
    <col min="1543" max="1543" width="13" style="2066" customWidth="1"/>
    <col min="1544" max="1545" width="8.90625" style="2066"/>
    <col min="1546" max="1546" width="5.7265625" style="2066" customWidth="1"/>
    <col min="1547" max="1547" width="11.7265625" style="2066" customWidth="1"/>
    <col min="1548" max="1549" width="10.7265625" style="2066" customWidth="1"/>
    <col min="1550" max="1550" width="10" style="2066" customWidth="1"/>
    <col min="1551" max="1552" width="10.453125" style="2066" bestFit="1" customWidth="1"/>
    <col min="1553" max="1553" width="10" style="2066" customWidth="1"/>
    <col min="1554" max="1554" width="10.08984375" style="2066" customWidth="1"/>
    <col min="1555" max="1555" width="10" style="2066" customWidth="1"/>
    <col min="1556" max="1556" width="26.08984375" style="2066" customWidth="1"/>
    <col min="1557" max="1792" width="8.90625" style="2066"/>
    <col min="1793" max="1793" width="9.453125" style="2066" customWidth="1"/>
    <col min="1794" max="1794" width="8.90625" style="2066"/>
    <col min="1795" max="1797" width="12.90625" style="2066" customWidth="1"/>
    <col min="1798" max="1798" width="47.453125" style="2066" customWidth="1"/>
    <col min="1799" max="1799" width="13" style="2066" customWidth="1"/>
    <col min="1800" max="1801" width="8.90625" style="2066"/>
    <col min="1802" max="1802" width="5.7265625" style="2066" customWidth="1"/>
    <col min="1803" max="1803" width="11.7265625" style="2066" customWidth="1"/>
    <col min="1804" max="1805" width="10.7265625" style="2066" customWidth="1"/>
    <col min="1806" max="1806" width="10" style="2066" customWidth="1"/>
    <col min="1807" max="1808" width="10.453125" style="2066" bestFit="1" customWidth="1"/>
    <col min="1809" max="1809" width="10" style="2066" customWidth="1"/>
    <col min="1810" max="1810" width="10.08984375" style="2066" customWidth="1"/>
    <col min="1811" max="1811" width="10" style="2066" customWidth="1"/>
    <col min="1812" max="1812" width="26.08984375" style="2066" customWidth="1"/>
    <col min="1813" max="2048" width="8.90625" style="2066"/>
    <col min="2049" max="2049" width="9.453125" style="2066" customWidth="1"/>
    <col min="2050" max="2050" width="8.90625" style="2066"/>
    <col min="2051" max="2053" width="12.90625" style="2066" customWidth="1"/>
    <col min="2054" max="2054" width="47.453125" style="2066" customWidth="1"/>
    <col min="2055" max="2055" width="13" style="2066" customWidth="1"/>
    <col min="2056" max="2057" width="8.90625" style="2066"/>
    <col min="2058" max="2058" width="5.7265625" style="2066" customWidth="1"/>
    <col min="2059" max="2059" width="11.7265625" style="2066" customWidth="1"/>
    <col min="2060" max="2061" width="10.7265625" style="2066" customWidth="1"/>
    <col min="2062" max="2062" width="10" style="2066" customWidth="1"/>
    <col min="2063" max="2064" width="10.453125" style="2066" bestFit="1" customWidth="1"/>
    <col min="2065" max="2065" width="10" style="2066" customWidth="1"/>
    <col min="2066" max="2066" width="10.08984375" style="2066" customWidth="1"/>
    <col min="2067" max="2067" width="10" style="2066" customWidth="1"/>
    <col min="2068" max="2068" width="26.08984375" style="2066" customWidth="1"/>
    <col min="2069" max="2304" width="8.90625" style="2066"/>
    <col min="2305" max="2305" width="9.453125" style="2066" customWidth="1"/>
    <col min="2306" max="2306" width="8.90625" style="2066"/>
    <col min="2307" max="2309" width="12.90625" style="2066" customWidth="1"/>
    <col min="2310" max="2310" width="47.453125" style="2066" customWidth="1"/>
    <col min="2311" max="2311" width="13" style="2066" customWidth="1"/>
    <col min="2312" max="2313" width="8.90625" style="2066"/>
    <col min="2314" max="2314" width="5.7265625" style="2066" customWidth="1"/>
    <col min="2315" max="2315" width="11.7265625" style="2066" customWidth="1"/>
    <col min="2316" max="2317" width="10.7265625" style="2066" customWidth="1"/>
    <col min="2318" max="2318" width="10" style="2066" customWidth="1"/>
    <col min="2319" max="2320" width="10.453125" style="2066" bestFit="1" customWidth="1"/>
    <col min="2321" max="2321" width="10" style="2066" customWidth="1"/>
    <col min="2322" max="2322" width="10.08984375" style="2066" customWidth="1"/>
    <col min="2323" max="2323" width="10" style="2066" customWidth="1"/>
    <col min="2324" max="2324" width="26.08984375" style="2066" customWidth="1"/>
    <col min="2325" max="2560" width="8.90625" style="2066"/>
    <col min="2561" max="2561" width="9.453125" style="2066" customWidth="1"/>
    <col min="2562" max="2562" width="8.90625" style="2066"/>
    <col min="2563" max="2565" width="12.90625" style="2066" customWidth="1"/>
    <col min="2566" max="2566" width="47.453125" style="2066" customWidth="1"/>
    <col min="2567" max="2567" width="13" style="2066" customWidth="1"/>
    <col min="2568" max="2569" width="8.90625" style="2066"/>
    <col min="2570" max="2570" width="5.7265625" style="2066" customWidth="1"/>
    <col min="2571" max="2571" width="11.7265625" style="2066" customWidth="1"/>
    <col min="2572" max="2573" width="10.7265625" style="2066" customWidth="1"/>
    <col min="2574" max="2574" width="10" style="2066" customWidth="1"/>
    <col min="2575" max="2576" width="10.453125" style="2066" bestFit="1" customWidth="1"/>
    <col min="2577" max="2577" width="10" style="2066" customWidth="1"/>
    <col min="2578" max="2578" width="10.08984375" style="2066" customWidth="1"/>
    <col min="2579" max="2579" width="10" style="2066" customWidth="1"/>
    <col min="2580" max="2580" width="26.08984375" style="2066" customWidth="1"/>
    <col min="2581" max="2816" width="8.90625" style="2066"/>
    <col min="2817" max="2817" width="9.453125" style="2066" customWidth="1"/>
    <col min="2818" max="2818" width="8.90625" style="2066"/>
    <col min="2819" max="2821" width="12.90625" style="2066" customWidth="1"/>
    <col min="2822" max="2822" width="47.453125" style="2066" customWidth="1"/>
    <col min="2823" max="2823" width="13" style="2066" customWidth="1"/>
    <col min="2824" max="2825" width="8.90625" style="2066"/>
    <col min="2826" max="2826" width="5.7265625" style="2066" customWidth="1"/>
    <col min="2827" max="2827" width="11.7265625" style="2066" customWidth="1"/>
    <col min="2828" max="2829" width="10.7265625" style="2066" customWidth="1"/>
    <col min="2830" max="2830" width="10" style="2066" customWidth="1"/>
    <col min="2831" max="2832" width="10.453125" style="2066" bestFit="1" customWidth="1"/>
    <col min="2833" max="2833" width="10" style="2066" customWidth="1"/>
    <col min="2834" max="2834" width="10.08984375" style="2066" customWidth="1"/>
    <col min="2835" max="2835" width="10" style="2066" customWidth="1"/>
    <col min="2836" max="2836" width="26.08984375" style="2066" customWidth="1"/>
    <col min="2837" max="3072" width="8.90625" style="2066"/>
    <col min="3073" max="3073" width="9.453125" style="2066" customWidth="1"/>
    <col min="3074" max="3074" width="8.90625" style="2066"/>
    <col min="3075" max="3077" width="12.90625" style="2066" customWidth="1"/>
    <col min="3078" max="3078" width="47.453125" style="2066" customWidth="1"/>
    <col min="3079" max="3079" width="13" style="2066" customWidth="1"/>
    <col min="3080" max="3081" width="8.90625" style="2066"/>
    <col min="3082" max="3082" width="5.7265625" style="2066" customWidth="1"/>
    <col min="3083" max="3083" width="11.7265625" style="2066" customWidth="1"/>
    <col min="3084" max="3085" width="10.7265625" style="2066" customWidth="1"/>
    <col min="3086" max="3086" width="10" style="2066" customWidth="1"/>
    <col min="3087" max="3088" width="10.453125" style="2066" bestFit="1" customWidth="1"/>
    <col min="3089" max="3089" width="10" style="2066" customWidth="1"/>
    <col min="3090" max="3090" width="10.08984375" style="2066" customWidth="1"/>
    <col min="3091" max="3091" width="10" style="2066" customWidth="1"/>
    <col min="3092" max="3092" width="26.08984375" style="2066" customWidth="1"/>
    <col min="3093" max="3328" width="8.90625" style="2066"/>
    <col min="3329" max="3329" width="9.453125" style="2066" customWidth="1"/>
    <col min="3330" max="3330" width="8.90625" style="2066"/>
    <col min="3331" max="3333" width="12.90625" style="2066" customWidth="1"/>
    <col min="3334" max="3334" width="47.453125" style="2066" customWidth="1"/>
    <col min="3335" max="3335" width="13" style="2066" customWidth="1"/>
    <col min="3336" max="3337" width="8.90625" style="2066"/>
    <col min="3338" max="3338" width="5.7265625" style="2066" customWidth="1"/>
    <col min="3339" max="3339" width="11.7265625" style="2066" customWidth="1"/>
    <col min="3340" max="3341" width="10.7265625" style="2066" customWidth="1"/>
    <col min="3342" max="3342" width="10" style="2066" customWidth="1"/>
    <col min="3343" max="3344" width="10.453125" style="2066" bestFit="1" customWidth="1"/>
    <col min="3345" max="3345" width="10" style="2066" customWidth="1"/>
    <col min="3346" max="3346" width="10.08984375" style="2066" customWidth="1"/>
    <col min="3347" max="3347" width="10" style="2066" customWidth="1"/>
    <col min="3348" max="3348" width="26.08984375" style="2066" customWidth="1"/>
    <col min="3349" max="3584" width="8.90625" style="2066"/>
    <col min="3585" max="3585" width="9.453125" style="2066" customWidth="1"/>
    <col min="3586" max="3586" width="8.90625" style="2066"/>
    <col min="3587" max="3589" width="12.90625" style="2066" customWidth="1"/>
    <col min="3590" max="3590" width="47.453125" style="2066" customWidth="1"/>
    <col min="3591" max="3591" width="13" style="2066" customWidth="1"/>
    <col min="3592" max="3593" width="8.90625" style="2066"/>
    <col min="3594" max="3594" width="5.7265625" style="2066" customWidth="1"/>
    <col min="3595" max="3595" width="11.7265625" style="2066" customWidth="1"/>
    <col min="3596" max="3597" width="10.7265625" style="2066" customWidth="1"/>
    <col min="3598" max="3598" width="10" style="2066" customWidth="1"/>
    <col min="3599" max="3600" width="10.453125" style="2066" bestFit="1" customWidth="1"/>
    <col min="3601" max="3601" width="10" style="2066" customWidth="1"/>
    <col min="3602" max="3602" width="10.08984375" style="2066" customWidth="1"/>
    <col min="3603" max="3603" width="10" style="2066" customWidth="1"/>
    <col min="3604" max="3604" width="26.08984375" style="2066" customWidth="1"/>
    <col min="3605" max="3840" width="8.90625" style="2066"/>
    <col min="3841" max="3841" width="9.453125" style="2066" customWidth="1"/>
    <col min="3842" max="3842" width="8.90625" style="2066"/>
    <col min="3843" max="3845" width="12.90625" style="2066" customWidth="1"/>
    <col min="3846" max="3846" width="47.453125" style="2066" customWidth="1"/>
    <col min="3847" max="3847" width="13" style="2066" customWidth="1"/>
    <col min="3848" max="3849" width="8.90625" style="2066"/>
    <col min="3850" max="3850" width="5.7265625" style="2066" customWidth="1"/>
    <col min="3851" max="3851" width="11.7265625" style="2066" customWidth="1"/>
    <col min="3852" max="3853" width="10.7265625" style="2066" customWidth="1"/>
    <col min="3854" max="3854" width="10" style="2066" customWidth="1"/>
    <col min="3855" max="3856" width="10.453125" style="2066" bestFit="1" customWidth="1"/>
    <col min="3857" max="3857" width="10" style="2066" customWidth="1"/>
    <col min="3858" max="3858" width="10.08984375" style="2066" customWidth="1"/>
    <col min="3859" max="3859" width="10" style="2066" customWidth="1"/>
    <col min="3860" max="3860" width="26.08984375" style="2066" customWidth="1"/>
    <col min="3861" max="4096" width="8.90625" style="2066"/>
    <col min="4097" max="4097" width="9.453125" style="2066" customWidth="1"/>
    <col min="4098" max="4098" width="8.90625" style="2066"/>
    <col min="4099" max="4101" width="12.90625" style="2066" customWidth="1"/>
    <col min="4102" max="4102" width="47.453125" style="2066" customWidth="1"/>
    <col min="4103" max="4103" width="13" style="2066" customWidth="1"/>
    <col min="4104" max="4105" width="8.90625" style="2066"/>
    <col min="4106" max="4106" width="5.7265625" style="2066" customWidth="1"/>
    <col min="4107" max="4107" width="11.7265625" style="2066" customWidth="1"/>
    <col min="4108" max="4109" width="10.7265625" style="2066" customWidth="1"/>
    <col min="4110" max="4110" width="10" style="2066" customWidth="1"/>
    <col min="4111" max="4112" width="10.453125" style="2066" bestFit="1" customWidth="1"/>
    <col min="4113" max="4113" width="10" style="2066" customWidth="1"/>
    <col min="4114" max="4114" width="10.08984375" style="2066" customWidth="1"/>
    <col min="4115" max="4115" width="10" style="2066" customWidth="1"/>
    <col min="4116" max="4116" width="26.08984375" style="2066" customWidth="1"/>
    <col min="4117" max="4352" width="8.90625" style="2066"/>
    <col min="4353" max="4353" width="9.453125" style="2066" customWidth="1"/>
    <col min="4354" max="4354" width="8.90625" style="2066"/>
    <col min="4355" max="4357" width="12.90625" style="2066" customWidth="1"/>
    <col min="4358" max="4358" width="47.453125" style="2066" customWidth="1"/>
    <col min="4359" max="4359" width="13" style="2066" customWidth="1"/>
    <col min="4360" max="4361" width="8.90625" style="2066"/>
    <col min="4362" max="4362" width="5.7265625" style="2066" customWidth="1"/>
    <col min="4363" max="4363" width="11.7265625" style="2066" customWidth="1"/>
    <col min="4364" max="4365" width="10.7265625" style="2066" customWidth="1"/>
    <col min="4366" max="4366" width="10" style="2066" customWidth="1"/>
    <col min="4367" max="4368" width="10.453125" style="2066" bestFit="1" customWidth="1"/>
    <col min="4369" max="4369" width="10" style="2066" customWidth="1"/>
    <col min="4370" max="4370" width="10.08984375" style="2066" customWidth="1"/>
    <col min="4371" max="4371" width="10" style="2066" customWidth="1"/>
    <col min="4372" max="4372" width="26.08984375" style="2066" customWidth="1"/>
    <col min="4373" max="4608" width="8.90625" style="2066"/>
    <col min="4609" max="4609" width="9.453125" style="2066" customWidth="1"/>
    <col min="4610" max="4610" width="8.90625" style="2066"/>
    <col min="4611" max="4613" width="12.90625" style="2066" customWidth="1"/>
    <col min="4614" max="4614" width="47.453125" style="2066" customWidth="1"/>
    <col min="4615" max="4615" width="13" style="2066" customWidth="1"/>
    <col min="4616" max="4617" width="8.90625" style="2066"/>
    <col min="4618" max="4618" width="5.7265625" style="2066" customWidth="1"/>
    <col min="4619" max="4619" width="11.7265625" style="2066" customWidth="1"/>
    <col min="4620" max="4621" width="10.7265625" style="2066" customWidth="1"/>
    <col min="4622" max="4622" width="10" style="2066" customWidth="1"/>
    <col min="4623" max="4624" width="10.453125" style="2066" bestFit="1" customWidth="1"/>
    <col min="4625" max="4625" width="10" style="2066" customWidth="1"/>
    <col min="4626" max="4626" width="10.08984375" style="2066" customWidth="1"/>
    <col min="4627" max="4627" width="10" style="2066" customWidth="1"/>
    <col min="4628" max="4628" width="26.08984375" style="2066" customWidth="1"/>
    <col min="4629" max="4864" width="8.90625" style="2066"/>
    <col min="4865" max="4865" width="9.453125" style="2066" customWidth="1"/>
    <col min="4866" max="4866" width="8.90625" style="2066"/>
    <col min="4867" max="4869" width="12.90625" style="2066" customWidth="1"/>
    <col min="4870" max="4870" width="47.453125" style="2066" customWidth="1"/>
    <col min="4871" max="4871" width="13" style="2066" customWidth="1"/>
    <col min="4872" max="4873" width="8.90625" style="2066"/>
    <col min="4874" max="4874" width="5.7265625" style="2066" customWidth="1"/>
    <col min="4875" max="4875" width="11.7265625" style="2066" customWidth="1"/>
    <col min="4876" max="4877" width="10.7265625" style="2066" customWidth="1"/>
    <col min="4878" max="4878" width="10" style="2066" customWidth="1"/>
    <col min="4879" max="4880" width="10.453125" style="2066" bestFit="1" customWidth="1"/>
    <col min="4881" max="4881" width="10" style="2066" customWidth="1"/>
    <col min="4882" max="4882" width="10.08984375" style="2066" customWidth="1"/>
    <col min="4883" max="4883" width="10" style="2066" customWidth="1"/>
    <col min="4884" max="4884" width="26.08984375" style="2066" customWidth="1"/>
    <col min="4885" max="5120" width="8.90625" style="2066"/>
    <col min="5121" max="5121" width="9.453125" style="2066" customWidth="1"/>
    <col min="5122" max="5122" width="8.90625" style="2066"/>
    <col min="5123" max="5125" width="12.90625" style="2066" customWidth="1"/>
    <col min="5126" max="5126" width="47.453125" style="2066" customWidth="1"/>
    <col min="5127" max="5127" width="13" style="2066" customWidth="1"/>
    <col min="5128" max="5129" width="8.90625" style="2066"/>
    <col min="5130" max="5130" width="5.7265625" style="2066" customWidth="1"/>
    <col min="5131" max="5131" width="11.7265625" style="2066" customWidth="1"/>
    <col min="5132" max="5133" width="10.7265625" style="2066" customWidth="1"/>
    <col min="5134" max="5134" width="10" style="2066" customWidth="1"/>
    <col min="5135" max="5136" width="10.453125" style="2066" bestFit="1" customWidth="1"/>
    <col min="5137" max="5137" width="10" style="2066" customWidth="1"/>
    <col min="5138" max="5138" width="10.08984375" style="2066" customWidth="1"/>
    <col min="5139" max="5139" width="10" style="2066" customWidth="1"/>
    <col min="5140" max="5140" width="26.08984375" style="2066" customWidth="1"/>
    <col min="5141" max="5376" width="8.90625" style="2066"/>
    <col min="5377" max="5377" width="9.453125" style="2066" customWidth="1"/>
    <col min="5378" max="5378" width="8.90625" style="2066"/>
    <col min="5379" max="5381" width="12.90625" style="2066" customWidth="1"/>
    <col min="5382" max="5382" width="47.453125" style="2066" customWidth="1"/>
    <col min="5383" max="5383" width="13" style="2066" customWidth="1"/>
    <col min="5384" max="5385" width="8.90625" style="2066"/>
    <col min="5386" max="5386" width="5.7265625" style="2066" customWidth="1"/>
    <col min="5387" max="5387" width="11.7265625" style="2066" customWidth="1"/>
    <col min="5388" max="5389" width="10.7265625" style="2066" customWidth="1"/>
    <col min="5390" max="5390" width="10" style="2066" customWidth="1"/>
    <col min="5391" max="5392" width="10.453125" style="2066" bestFit="1" customWidth="1"/>
    <col min="5393" max="5393" width="10" style="2066" customWidth="1"/>
    <col min="5394" max="5394" width="10.08984375" style="2066" customWidth="1"/>
    <col min="5395" max="5395" width="10" style="2066" customWidth="1"/>
    <col min="5396" max="5396" width="26.08984375" style="2066" customWidth="1"/>
    <col min="5397" max="5632" width="8.90625" style="2066"/>
    <col min="5633" max="5633" width="9.453125" style="2066" customWidth="1"/>
    <col min="5634" max="5634" width="8.90625" style="2066"/>
    <col min="5635" max="5637" width="12.90625" style="2066" customWidth="1"/>
    <col min="5638" max="5638" width="47.453125" style="2066" customWidth="1"/>
    <col min="5639" max="5639" width="13" style="2066" customWidth="1"/>
    <col min="5640" max="5641" width="8.90625" style="2066"/>
    <col min="5642" max="5642" width="5.7265625" style="2066" customWidth="1"/>
    <col min="5643" max="5643" width="11.7265625" style="2066" customWidth="1"/>
    <col min="5644" max="5645" width="10.7265625" style="2066" customWidth="1"/>
    <col min="5646" max="5646" width="10" style="2066" customWidth="1"/>
    <col min="5647" max="5648" width="10.453125" style="2066" bestFit="1" customWidth="1"/>
    <col min="5649" max="5649" width="10" style="2066" customWidth="1"/>
    <col min="5650" max="5650" width="10.08984375" style="2066" customWidth="1"/>
    <col min="5651" max="5651" width="10" style="2066" customWidth="1"/>
    <col min="5652" max="5652" width="26.08984375" style="2066" customWidth="1"/>
    <col min="5653" max="5888" width="8.90625" style="2066"/>
    <col min="5889" max="5889" width="9.453125" style="2066" customWidth="1"/>
    <col min="5890" max="5890" width="8.90625" style="2066"/>
    <col min="5891" max="5893" width="12.90625" style="2066" customWidth="1"/>
    <col min="5894" max="5894" width="47.453125" style="2066" customWidth="1"/>
    <col min="5895" max="5895" width="13" style="2066" customWidth="1"/>
    <col min="5896" max="5897" width="8.90625" style="2066"/>
    <col min="5898" max="5898" width="5.7265625" style="2066" customWidth="1"/>
    <col min="5899" max="5899" width="11.7265625" style="2066" customWidth="1"/>
    <col min="5900" max="5901" width="10.7265625" style="2066" customWidth="1"/>
    <col min="5902" max="5902" width="10" style="2066" customWidth="1"/>
    <col min="5903" max="5904" width="10.453125" style="2066" bestFit="1" customWidth="1"/>
    <col min="5905" max="5905" width="10" style="2066" customWidth="1"/>
    <col min="5906" max="5906" width="10.08984375" style="2066" customWidth="1"/>
    <col min="5907" max="5907" width="10" style="2066" customWidth="1"/>
    <col min="5908" max="5908" width="26.08984375" style="2066" customWidth="1"/>
    <col min="5909" max="6144" width="8.90625" style="2066"/>
    <col min="6145" max="6145" width="9.453125" style="2066" customWidth="1"/>
    <col min="6146" max="6146" width="8.90625" style="2066"/>
    <col min="6147" max="6149" width="12.90625" style="2066" customWidth="1"/>
    <col min="6150" max="6150" width="47.453125" style="2066" customWidth="1"/>
    <col min="6151" max="6151" width="13" style="2066" customWidth="1"/>
    <col min="6152" max="6153" width="8.90625" style="2066"/>
    <col min="6154" max="6154" width="5.7265625" style="2066" customWidth="1"/>
    <col min="6155" max="6155" width="11.7265625" style="2066" customWidth="1"/>
    <col min="6156" max="6157" width="10.7265625" style="2066" customWidth="1"/>
    <col min="6158" max="6158" width="10" style="2066" customWidth="1"/>
    <col min="6159" max="6160" width="10.453125" style="2066" bestFit="1" customWidth="1"/>
    <col min="6161" max="6161" width="10" style="2066" customWidth="1"/>
    <col min="6162" max="6162" width="10.08984375" style="2066" customWidth="1"/>
    <col min="6163" max="6163" width="10" style="2066" customWidth="1"/>
    <col min="6164" max="6164" width="26.08984375" style="2066" customWidth="1"/>
    <col min="6165" max="6400" width="8.90625" style="2066"/>
    <col min="6401" max="6401" width="9.453125" style="2066" customWidth="1"/>
    <col min="6402" max="6402" width="8.90625" style="2066"/>
    <col min="6403" max="6405" width="12.90625" style="2066" customWidth="1"/>
    <col min="6406" max="6406" width="47.453125" style="2066" customWidth="1"/>
    <col min="6407" max="6407" width="13" style="2066" customWidth="1"/>
    <col min="6408" max="6409" width="8.90625" style="2066"/>
    <col min="6410" max="6410" width="5.7265625" style="2066" customWidth="1"/>
    <col min="6411" max="6411" width="11.7265625" style="2066" customWidth="1"/>
    <col min="6412" max="6413" width="10.7265625" style="2066" customWidth="1"/>
    <col min="6414" max="6414" width="10" style="2066" customWidth="1"/>
    <col min="6415" max="6416" width="10.453125" style="2066" bestFit="1" customWidth="1"/>
    <col min="6417" max="6417" width="10" style="2066" customWidth="1"/>
    <col min="6418" max="6418" width="10.08984375" style="2066" customWidth="1"/>
    <col min="6419" max="6419" width="10" style="2066" customWidth="1"/>
    <col min="6420" max="6420" width="26.08984375" style="2066" customWidth="1"/>
    <col min="6421" max="6656" width="8.90625" style="2066"/>
    <col min="6657" max="6657" width="9.453125" style="2066" customWidth="1"/>
    <col min="6658" max="6658" width="8.90625" style="2066"/>
    <col min="6659" max="6661" width="12.90625" style="2066" customWidth="1"/>
    <col min="6662" max="6662" width="47.453125" style="2066" customWidth="1"/>
    <col min="6663" max="6663" width="13" style="2066" customWidth="1"/>
    <col min="6664" max="6665" width="8.90625" style="2066"/>
    <col min="6666" max="6666" width="5.7265625" style="2066" customWidth="1"/>
    <col min="6667" max="6667" width="11.7265625" style="2066" customWidth="1"/>
    <col min="6668" max="6669" width="10.7265625" style="2066" customWidth="1"/>
    <col min="6670" max="6670" width="10" style="2066" customWidth="1"/>
    <col min="6671" max="6672" width="10.453125" style="2066" bestFit="1" customWidth="1"/>
    <col min="6673" max="6673" width="10" style="2066" customWidth="1"/>
    <col min="6674" max="6674" width="10.08984375" style="2066" customWidth="1"/>
    <col min="6675" max="6675" width="10" style="2066" customWidth="1"/>
    <col min="6676" max="6676" width="26.08984375" style="2066" customWidth="1"/>
    <col min="6677" max="6912" width="8.90625" style="2066"/>
    <col min="6913" max="6913" width="9.453125" style="2066" customWidth="1"/>
    <col min="6914" max="6914" width="8.90625" style="2066"/>
    <col min="6915" max="6917" width="12.90625" style="2066" customWidth="1"/>
    <col min="6918" max="6918" width="47.453125" style="2066" customWidth="1"/>
    <col min="6919" max="6919" width="13" style="2066" customWidth="1"/>
    <col min="6920" max="6921" width="8.90625" style="2066"/>
    <col min="6922" max="6922" width="5.7265625" style="2066" customWidth="1"/>
    <col min="6923" max="6923" width="11.7265625" style="2066" customWidth="1"/>
    <col min="6924" max="6925" width="10.7265625" style="2066" customWidth="1"/>
    <col min="6926" max="6926" width="10" style="2066" customWidth="1"/>
    <col min="6927" max="6928" width="10.453125" style="2066" bestFit="1" customWidth="1"/>
    <col min="6929" max="6929" width="10" style="2066" customWidth="1"/>
    <col min="6930" max="6930" width="10.08984375" style="2066" customWidth="1"/>
    <col min="6931" max="6931" width="10" style="2066" customWidth="1"/>
    <col min="6932" max="6932" width="26.08984375" style="2066" customWidth="1"/>
    <col min="6933" max="7168" width="8.90625" style="2066"/>
    <col min="7169" max="7169" width="9.453125" style="2066" customWidth="1"/>
    <col min="7170" max="7170" width="8.90625" style="2066"/>
    <col min="7171" max="7173" width="12.90625" style="2066" customWidth="1"/>
    <col min="7174" max="7174" width="47.453125" style="2066" customWidth="1"/>
    <col min="7175" max="7175" width="13" style="2066" customWidth="1"/>
    <col min="7176" max="7177" width="8.90625" style="2066"/>
    <col min="7178" max="7178" width="5.7265625" style="2066" customWidth="1"/>
    <col min="7179" max="7179" width="11.7265625" style="2066" customWidth="1"/>
    <col min="7180" max="7181" width="10.7265625" style="2066" customWidth="1"/>
    <col min="7182" max="7182" width="10" style="2066" customWidth="1"/>
    <col min="7183" max="7184" width="10.453125" style="2066" bestFit="1" customWidth="1"/>
    <col min="7185" max="7185" width="10" style="2066" customWidth="1"/>
    <col min="7186" max="7186" width="10.08984375" style="2066" customWidth="1"/>
    <col min="7187" max="7187" width="10" style="2066" customWidth="1"/>
    <col min="7188" max="7188" width="26.08984375" style="2066" customWidth="1"/>
    <col min="7189" max="7424" width="8.90625" style="2066"/>
    <col min="7425" max="7425" width="9.453125" style="2066" customWidth="1"/>
    <col min="7426" max="7426" width="8.90625" style="2066"/>
    <col min="7427" max="7429" width="12.90625" style="2066" customWidth="1"/>
    <col min="7430" max="7430" width="47.453125" style="2066" customWidth="1"/>
    <col min="7431" max="7431" width="13" style="2066" customWidth="1"/>
    <col min="7432" max="7433" width="8.90625" style="2066"/>
    <col min="7434" max="7434" width="5.7265625" style="2066" customWidth="1"/>
    <col min="7435" max="7435" width="11.7265625" style="2066" customWidth="1"/>
    <col min="7436" max="7437" width="10.7265625" style="2066" customWidth="1"/>
    <col min="7438" max="7438" width="10" style="2066" customWidth="1"/>
    <col min="7439" max="7440" width="10.453125" style="2066" bestFit="1" customWidth="1"/>
    <col min="7441" max="7441" width="10" style="2066" customWidth="1"/>
    <col min="7442" max="7442" width="10.08984375" style="2066" customWidth="1"/>
    <col min="7443" max="7443" width="10" style="2066" customWidth="1"/>
    <col min="7444" max="7444" width="26.08984375" style="2066" customWidth="1"/>
    <col min="7445" max="7680" width="8.90625" style="2066"/>
    <col min="7681" max="7681" width="9.453125" style="2066" customWidth="1"/>
    <col min="7682" max="7682" width="8.90625" style="2066"/>
    <col min="7683" max="7685" width="12.90625" style="2066" customWidth="1"/>
    <col min="7686" max="7686" width="47.453125" style="2066" customWidth="1"/>
    <col min="7687" max="7687" width="13" style="2066" customWidth="1"/>
    <col min="7688" max="7689" width="8.90625" style="2066"/>
    <col min="7690" max="7690" width="5.7265625" style="2066" customWidth="1"/>
    <col min="7691" max="7691" width="11.7265625" style="2066" customWidth="1"/>
    <col min="7692" max="7693" width="10.7265625" style="2066" customWidth="1"/>
    <col min="7694" max="7694" width="10" style="2066" customWidth="1"/>
    <col min="7695" max="7696" width="10.453125" style="2066" bestFit="1" customWidth="1"/>
    <col min="7697" max="7697" width="10" style="2066" customWidth="1"/>
    <col min="7698" max="7698" width="10.08984375" style="2066" customWidth="1"/>
    <col min="7699" max="7699" width="10" style="2066" customWidth="1"/>
    <col min="7700" max="7700" width="26.08984375" style="2066" customWidth="1"/>
    <col min="7701" max="7936" width="8.90625" style="2066"/>
    <col min="7937" max="7937" width="9.453125" style="2066" customWidth="1"/>
    <col min="7938" max="7938" width="8.90625" style="2066"/>
    <col min="7939" max="7941" width="12.90625" style="2066" customWidth="1"/>
    <col min="7942" max="7942" width="47.453125" style="2066" customWidth="1"/>
    <col min="7943" max="7943" width="13" style="2066" customWidth="1"/>
    <col min="7944" max="7945" width="8.90625" style="2066"/>
    <col min="7946" max="7946" width="5.7265625" style="2066" customWidth="1"/>
    <col min="7947" max="7947" width="11.7265625" style="2066" customWidth="1"/>
    <col min="7948" max="7949" width="10.7265625" style="2066" customWidth="1"/>
    <col min="7950" max="7950" width="10" style="2066" customWidth="1"/>
    <col min="7951" max="7952" width="10.453125" style="2066" bestFit="1" customWidth="1"/>
    <col min="7953" max="7953" width="10" style="2066" customWidth="1"/>
    <col min="7954" max="7954" width="10.08984375" style="2066" customWidth="1"/>
    <col min="7955" max="7955" width="10" style="2066" customWidth="1"/>
    <col min="7956" max="7956" width="26.08984375" style="2066" customWidth="1"/>
    <col min="7957" max="8192" width="8.90625" style="2066"/>
    <col min="8193" max="8193" width="9.453125" style="2066" customWidth="1"/>
    <col min="8194" max="8194" width="8.90625" style="2066"/>
    <col min="8195" max="8197" width="12.90625" style="2066" customWidth="1"/>
    <col min="8198" max="8198" width="47.453125" style="2066" customWidth="1"/>
    <col min="8199" max="8199" width="13" style="2066" customWidth="1"/>
    <col min="8200" max="8201" width="8.90625" style="2066"/>
    <col min="8202" max="8202" width="5.7265625" style="2066" customWidth="1"/>
    <col min="8203" max="8203" width="11.7265625" style="2066" customWidth="1"/>
    <col min="8204" max="8205" width="10.7265625" style="2066" customWidth="1"/>
    <col min="8206" max="8206" width="10" style="2066" customWidth="1"/>
    <col min="8207" max="8208" width="10.453125" style="2066" bestFit="1" customWidth="1"/>
    <col min="8209" max="8209" width="10" style="2066" customWidth="1"/>
    <col min="8210" max="8210" width="10.08984375" style="2066" customWidth="1"/>
    <col min="8211" max="8211" width="10" style="2066" customWidth="1"/>
    <col min="8212" max="8212" width="26.08984375" style="2066" customWidth="1"/>
    <col min="8213" max="8448" width="8.90625" style="2066"/>
    <col min="8449" max="8449" width="9.453125" style="2066" customWidth="1"/>
    <col min="8450" max="8450" width="8.90625" style="2066"/>
    <col min="8451" max="8453" width="12.90625" style="2066" customWidth="1"/>
    <col min="8454" max="8454" width="47.453125" style="2066" customWidth="1"/>
    <col min="8455" max="8455" width="13" style="2066" customWidth="1"/>
    <col min="8456" max="8457" width="8.90625" style="2066"/>
    <col min="8458" max="8458" width="5.7265625" style="2066" customWidth="1"/>
    <col min="8459" max="8459" width="11.7265625" style="2066" customWidth="1"/>
    <col min="8460" max="8461" width="10.7265625" style="2066" customWidth="1"/>
    <col min="8462" max="8462" width="10" style="2066" customWidth="1"/>
    <col min="8463" max="8464" width="10.453125" style="2066" bestFit="1" customWidth="1"/>
    <col min="8465" max="8465" width="10" style="2066" customWidth="1"/>
    <col min="8466" max="8466" width="10.08984375" style="2066" customWidth="1"/>
    <col min="8467" max="8467" width="10" style="2066" customWidth="1"/>
    <col min="8468" max="8468" width="26.08984375" style="2066" customWidth="1"/>
    <col min="8469" max="8704" width="8.90625" style="2066"/>
    <col min="8705" max="8705" width="9.453125" style="2066" customWidth="1"/>
    <col min="8706" max="8706" width="8.90625" style="2066"/>
    <col min="8707" max="8709" width="12.90625" style="2066" customWidth="1"/>
    <col min="8710" max="8710" width="47.453125" style="2066" customWidth="1"/>
    <col min="8711" max="8711" width="13" style="2066" customWidth="1"/>
    <col min="8712" max="8713" width="8.90625" style="2066"/>
    <col min="8714" max="8714" width="5.7265625" style="2066" customWidth="1"/>
    <col min="8715" max="8715" width="11.7265625" style="2066" customWidth="1"/>
    <col min="8716" max="8717" width="10.7265625" style="2066" customWidth="1"/>
    <col min="8718" max="8718" width="10" style="2066" customWidth="1"/>
    <col min="8719" max="8720" width="10.453125" style="2066" bestFit="1" customWidth="1"/>
    <col min="8721" max="8721" width="10" style="2066" customWidth="1"/>
    <col min="8722" max="8722" width="10.08984375" style="2066" customWidth="1"/>
    <col min="8723" max="8723" width="10" style="2066" customWidth="1"/>
    <col min="8724" max="8724" width="26.08984375" style="2066" customWidth="1"/>
    <col min="8725" max="8960" width="8.90625" style="2066"/>
    <col min="8961" max="8961" width="9.453125" style="2066" customWidth="1"/>
    <col min="8962" max="8962" width="8.90625" style="2066"/>
    <col min="8963" max="8965" width="12.90625" style="2066" customWidth="1"/>
    <col min="8966" max="8966" width="47.453125" style="2066" customWidth="1"/>
    <col min="8967" max="8967" width="13" style="2066" customWidth="1"/>
    <col min="8968" max="8969" width="8.90625" style="2066"/>
    <col min="8970" max="8970" width="5.7265625" style="2066" customWidth="1"/>
    <col min="8971" max="8971" width="11.7265625" style="2066" customWidth="1"/>
    <col min="8972" max="8973" width="10.7265625" style="2066" customWidth="1"/>
    <col min="8974" max="8974" width="10" style="2066" customWidth="1"/>
    <col min="8975" max="8976" width="10.453125" style="2066" bestFit="1" customWidth="1"/>
    <col min="8977" max="8977" width="10" style="2066" customWidth="1"/>
    <col min="8978" max="8978" width="10.08984375" style="2066" customWidth="1"/>
    <col min="8979" max="8979" width="10" style="2066" customWidth="1"/>
    <col min="8980" max="8980" width="26.08984375" style="2066" customWidth="1"/>
    <col min="8981" max="9216" width="8.90625" style="2066"/>
    <col min="9217" max="9217" width="9.453125" style="2066" customWidth="1"/>
    <col min="9218" max="9218" width="8.90625" style="2066"/>
    <col min="9219" max="9221" width="12.90625" style="2066" customWidth="1"/>
    <col min="9222" max="9222" width="47.453125" style="2066" customWidth="1"/>
    <col min="9223" max="9223" width="13" style="2066" customWidth="1"/>
    <col min="9224" max="9225" width="8.90625" style="2066"/>
    <col min="9226" max="9226" width="5.7265625" style="2066" customWidth="1"/>
    <col min="9227" max="9227" width="11.7265625" style="2066" customWidth="1"/>
    <col min="9228" max="9229" width="10.7265625" style="2066" customWidth="1"/>
    <col min="9230" max="9230" width="10" style="2066" customWidth="1"/>
    <col min="9231" max="9232" width="10.453125" style="2066" bestFit="1" customWidth="1"/>
    <col min="9233" max="9233" width="10" style="2066" customWidth="1"/>
    <col min="9234" max="9234" width="10.08984375" style="2066" customWidth="1"/>
    <col min="9235" max="9235" width="10" style="2066" customWidth="1"/>
    <col min="9236" max="9236" width="26.08984375" style="2066" customWidth="1"/>
    <col min="9237" max="9472" width="8.90625" style="2066"/>
    <col min="9473" max="9473" width="9.453125" style="2066" customWidth="1"/>
    <col min="9474" max="9474" width="8.90625" style="2066"/>
    <col min="9475" max="9477" width="12.90625" style="2066" customWidth="1"/>
    <col min="9478" max="9478" width="47.453125" style="2066" customWidth="1"/>
    <col min="9479" max="9479" width="13" style="2066" customWidth="1"/>
    <col min="9480" max="9481" width="8.90625" style="2066"/>
    <col min="9482" max="9482" width="5.7265625" style="2066" customWidth="1"/>
    <col min="9483" max="9483" width="11.7265625" style="2066" customWidth="1"/>
    <col min="9484" max="9485" width="10.7265625" style="2066" customWidth="1"/>
    <col min="9486" max="9486" width="10" style="2066" customWidth="1"/>
    <col min="9487" max="9488" width="10.453125" style="2066" bestFit="1" customWidth="1"/>
    <col min="9489" max="9489" width="10" style="2066" customWidth="1"/>
    <col min="9490" max="9490" width="10.08984375" style="2066" customWidth="1"/>
    <col min="9491" max="9491" width="10" style="2066" customWidth="1"/>
    <col min="9492" max="9492" width="26.08984375" style="2066" customWidth="1"/>
    <col min="9493" max="9728" width="8.90625" style="2066"/>
    <col min="9729" max="9729" width="9.453125" style="2066" customWidth="1"/>
    <col min="9730" max="9730" width="8.90625" style="2066"/>
    <col min="9731" max="9733" width="12.90625" style="2066" customWidth="1"/>
    <col min="9734" max="9734" width="47.453125" style="2066" customWidth="1"/>
    <col min="9735" max="9735" width="13" style="2066" customWidth="1"/>
    <col min="9736" max="9737" width="8.90625" style="2066"/>
    <col min="9738" max="9738" width="5.7265625" style="2066" customWidth="1"/>
    <col min="9739" max="9739" width="11.7265625" style="2066" customWidth="1"/>
    <col min="9740" max="9741" width="10.7265625" style="2066" customWidth="1"/>
    <col min="9742" max="9742" width="10" style="2066" customWidth="1"/>
    <col min="9743" max="9744" width="10.453125" style="2066" bestFit="1" customWidth="1"/>
    <col min="9745" max="9745" width="10" style="2066" customWidth="1"/>
    <col min="9746" max="9746" width="10.08984375" style="2066" customWidth="1"/>
    <col min="9747" max="9747" width="10" style="2066" customWidth="1"/>
    <col min="9748" max="9748" width="26.08984375" style="2066" customWidth="1"/>
    <col min="9749" max="9984" width="8.90625" style="2066"/>
    <col min="9985" max="9985" width="9.453125" style="2066" customWidth="1"/>
    <col min="9986" max="9986" width="8.90625" style="2066"/>
    <col min="9987" max="9989" width="12.90625" style="2066" customWidth="1"/>
    <col min="9990" max="9990" width="47.453125" style="2066" customWidth="1"/>
    <col min="9991" max="9991" width="13" style="2066" customWidth="1"/>
    <col min="9992" max="9993" width="8.90625" style="2066"/>
    <col min="9994" max="9994" width="5.7265625" style="2066" customWidth="1"/>
    <col min="9995" max="9995" width="11.7265625" style="2066" customWidth="1"/>
    <col min="9996" max="9997" width="10.7265625" style="2066" customWidth="1"/>
    <col min="9998" max="9998" width="10" style="2066" customWidth="1"/>
    <col min="9999" max="10000" width="10.453125" style="2066" bestFit="1" customWidth="1"/>
    <col min="10001" max="10001" width="10" style="2066" customWidth="1"/>
    <col min="10002" max="10002" width="10.08984375" style="2066" customWidth="1"/>
    <col min="10003" max="10003" width="10" style="2066" customWidth="1"/>
    <col min="10004" max="10004" width="26.08984375" style="2066" customWidth="1"/>
    <col min="10005" max="10240" width="8.90625" style="2066"/>
    <col min="10241" max="10241" width="9.453125" style="2066" customWidth="1"/>
    <col min="10242" max="10242" width="8.90625" style="2066"/>
    <col min="10243" max="10245" width="12.90625" style="2066" customWidth="1"/>
    <col min="10246" max="10246" width="47.453125" style="2066" customWidth="1"/>
    <col min="10247" max="10247" width="13" style="2066" customWidth="1"/>
    <col min="10248" max="10249" width="8.90625" style="2066"/>
    <col min="10250" max="10250" width="5.7265625" style="2066" customWidth="1"/>
    <col min="10251" max="10251" width="11.7265625" style="2066" customWidth="1"/>
    <col min="10252" max="10253" width="10.7265625" style="2066" customWidth="1"/>
    <col min="10254" max="10254" width="10" style="2066" customWidth="1"/>
    <col min="10255" max="10256" width="10.453125" style="2066" bestFit="1" customWidth="1"/>
    <col min="10257" max="10257" width="10" style="2066" customWidth="1"/>
    <col min="10258" max="10258" width="10.08984375" style="2066" customWidth="1"/>
    <col min="10259" max="10259" width="10" style="2066" customWidth="1"/>
    <col min="10260" max="10260" width="26.08984375" style="2066" customWidth="1"/>
    <col min="10261" max="10496" width="8.90625" style="2066"/>
    <col min="10497" max="10497" width="9.453125" style="2066" customWidth="1"/>
    <col min="10498" max="10498" width="8.90625" style="2066"/>
    <col min="10499" max="10501" width="12.90625" style="2066" customWidth="1"/>
    <col min="10502" max="10502" width="47.453125" style="2066" customWidth="1"/>
    <col min="10503" max="10503" width="13" style="2066" customWidth="1"/>
    <col min="10504" max="10505" width="8.90625" style="2066"/>
    <col min="10506" max="10506" width="5.7265625" style="2066" customWidth="1"/>
    <col min="10507" max="10507" width="11.7265625" style="2066" customWidth="1"/>
    <col min="10508" max="10509" width="10.7265625" style="2066" customWidth="1"/>
    <col min="10510" max="10510" width="10" style="2066" customWidth="1"/>
    <col min="10511" max="10512" width="10.453125" style="2066" bestFit="1" customWidth="1"/>
    <col min="10513" max="10513" width="10" style="2066" customWidth="1"/>
    <col min="10514" max="10514" width="10.08984375" style="2066" customWidth="1"/>
    <col min="10515" max="10515" width="10" style="2066" customWidth="1"/>
    <col min="10516" max="10516" width="26.08984375" style="2066" customWidth="1"/>
    <col min="10517" max="10752" width="8.90625" style="2066"/>
    <col min="10753" max="10753" width="9.453125" style="2066" customWidth="1"/>
    <col min="10754" max="10754" width="8.90625" style="2066"/>
    <col min="10755" max="10757" width="12.90625" style="2066" customWidth="1"/>
    <col min="10758" max="10758" width="47.453125" style="2066" customWidth="1"/>
    <col min="10759" max="10759" width="13" style="2066" customWidth="1"/>
    <col min="10760" max="10761" width="8.90625" style="2066"/>
    <col min="10762" max="10762" width="5.7265625" style="2066" customWidth="1"/>
    <col min="10763" max="10763" width="11.7265625" style="2066" customWidth="1"/>
    <col min="10764" max="10765" width="10.7265625" style="2066" customWidth="1"/>
    <col min="10766" max="10766" width="10" style="2066" customWidth="1"/>
    <col min="10767" max="10768" width="10.453125" style="2066" bestFit="1" customWidth="1"/>
    <col min="10769" max="10769" width="10" style="2066" customWidth="1"/>
    <col min="10770" max="10770" width="10.08984375" style="2066" customWidth="1"/>
    <col min="10771" max="10771" width="10" style="2066" customWidth="1"/>
    <col min="10772" max="10772" width="26.08984375" style="2066" customWidth="1"/>
    <col min="10773" max="11008" width="8.90625" style="2066"/>
    <col min="11009" max="11009" width="9.453125" style="2066" customWidth="1"/>
    <col min="11010" max="11010" width="8.90625" style="2066"/>
    <col min="11011" max="11013" width="12.90625" style="2066" customWidth="1"/>
    <col min="11014" max="11014" width="47.453125" style="2066" customWidth="1"/>
    <col min="11015" max="11015" width="13" style="2066" customWidth="1"/>
    <col min="11016" max="11017" width="8.90625" style="2066"/>
    <col min="11018" max="11018" width="5.7265625" style="2066" customWidth="1"/>
    <col min="11019" max="11019" width="11.7265625" style="2066" customWidth="1"/>
    <col min="11020" max="11021" width="10.7265625" style="2066" customWidth="1"/>
    <col min="11022" max="11022" width="10" style="2066" customWidth="1"/>
    <col min="11023" max="11024" width="10.453125" style="2066" bestFit="1" customWidth="1"/>
    <col min="11025" max="11025" width="10" style="2066" customWidth="1"/>
    <col min="11026" max="11026" width="10.08984375" style="2066" customWidth="1"/>
    <col min="11027" max="11027" width="10" style="2066" customWidth="1"/>
    <col min="11028" max="11028" width="26.08984375" style="2066" customWidth="1"/>
    <col min="11029" max="11264" width="8.90625" style="2066"/>
    <col min="11265" max="11265" width="9.453125" style="2066" customWidth="1"/>
    <col min="11266" max="11266" width="8.90625" style="2066"/>
    <col min="11267" max="11269" width="12.90625" style="2066" customWidth="1"/>
    <col min="11270" max="11270" width="47.453125" style="2066" customWidth="1"/>
    <col min="11271" max="11271" width="13" style="2066" customWidth="1"/>
    <col min="11272" max="11273" width="8.90625" style="2066"/>
    <col min="11274" max="11274" width="5.7265625" style="2066" customWidth="1"/>
    <col min="11275" max="11275" width="11.7265625" style="2066" customWidth="1"/>
    <col min="11276" max="11277" width="10.7265625" style="2066" customWidth="1"/>
    <col min="11278" max="11278" width="10" style="2066" customWidth="1"/>
    <col min="11279" max="11280" width="10.453125" style="2066" bestFit="1" customWidth="1"/>
    <col min="11281" max="11281" width="10" style="2066" customWidth="1"/>
    <col min="11282" max="11282" width="10.08984375" style="2066" customWidth="1"/>
    <col min="11283" max="11283" width="10" style="2066" customWidth="1"/>
    <col min="11284" max="11284" width="26.08984375" style="2066" customWidth="1"/>
    <col min="11285" max="11520" width="8.90625" style="2066"/>
    <col min="11521" max="11521" width="9.453125" style="2066" customWidth="1"/>
    <col min="11522" max="11522" width="8.90625" style="2066"/>
    <col min="11523" max="11525" width="12.90625" style="2066" customWidth="1"/>
    <col min="11526" max="11526" width="47.453125" style="2066" customWidth="1"/>
    <col min="11527" max="11527" width="13" style="2066" customWidth="1"/>
    <col min="11528" max="11529" width="8.90625" style="2066"/>
    <col min="11530" max="11530" width="5.7265625" style="2066" customWidth="1"/>
    <col min="11531" max="11531" width="11.7265625" style="2066" customWidth="1"/>
    <col min="11532" max="11533" width="10.7265625" style="2066" customWidth="1"/>
    <col min="11534" max="11534" width="10" style="2066" customWidth="1"/>
    <col min="11535" max="11536" width="10.453125" style="2066" bestFit="1" customWidth="1"/>
    <col min="11537" max="11537" width="10" style="2066" customWidth="1"/>
    <col min="11538" max="11538" width="10.08984375" style="2066" customWidth="1"/>
    <col min="11539" max="11539" width="10" style="2066" customWidth="1"/>
    <col min="11540" max="11540" width="26.08984375" style="2066" customWidth="1"/>
    <col min="11541" max="11776" width="8.90625" style="2066"/>
    <col min="11777" max="11777" width="9.453125" style="2066" customWidth="1"/>
    <col min="11778" max="11778" width="8.90625" style="2066"/>
    <col min="11779" max="11781" width="12.90625" style="2066" customWidth="1"/>
    <col min="11782" max="11782" width="47.453125" style="2066" customWidth="1"/>
    <col min="11783" max="11783" width="13" style="2066" customWidth="1"/>
    <col min="11784" max="11785" width="8.90625" style="2066"/>
    <col min="11786" max="11786" width="5.7265625" style="2066" customWidth="1"/>
    <col min="11787" max="11787" width="11.7265625" style="2066" customWidth="1"/>
    <col min="11788" max="11789" width="10.7265625" style="2066" customWidth="1"/>
    <col min="11790" max="11790" width="10" style="2066" customWidth="1"/>
    <col min="11791" max="11792" width="10.453125" style="2066" bestFit="1" customWidth="1"/>
    <col min="11793" max="11793" width="10" style="2066" customWidth="1"/>
    <col min="11794" max="11794" width="10.08984375" style="2066" customWidth="1"/>
    <col min="11795" max="11795" width="10" style="2066" customWidth="1"/>
    <col min="11796" max="11796" width="26.08984375" style="2066" customWidth="1"/>
    <col min="11797" max="12032" width="8.90625" style="2066"/>
    <col min="12033" max="12033" width="9.453125" style="2066" customWidth="1"/>
    <col min="12034" max="12034" width="8.90625" style="2066"/>
    <col min="12035" max="12037" width="12.90625" style="2066" customWidth="1"/>
    <col min="12038" max="12038" width="47.453125" style="2066" customWidth="1"/>
    <col min="12039" max="12039" width="13" style="2066" customWidth="1"/>
    <col min="12040" max="12041" width="8.90625" style="2066"/>
    <col min="12042" max="12042" width="5.7265625" style="2066" customWidth="1"/>
    <col min="12043" max="12043" width="11.7265625" style="2066" customWidth="1"/>
    <col min="12044" max="12045" width="10.7265625" style="2066" customWidth="1"/>
    <col min="12046" max="12046" width="10" style="2066" customWidth="1"/>
    <col min="12047" max="12048" width="10.453125" style="2066" bestFit="1" customWidth="1"/>
    <col min="12049" max="12049" width="10" style="2066" customWidth="1"/>
    <col min="12050" max="12050" width="10.08984375" style="2066" customWidth="1"/>
    <col min="12051" max="12051" width="10" style="2066" customWidth="1"/>
    <col min="12052" max="12052" width="26.08984375" style="2066" customWidth="1"/>
    <col min="12053" max="12288" width="8.90625" style="2066"/>
    <col min="12289" max="12289" width="9.453125" style="2066" customWidth="1"/>
    <col min="12290" max="12290" width="8.90625" style="2066"/>
    <col min="12291" max="12293" width="12.90625" style="2066" customWidth="1"/>
    <col min="12294" max="12294" width="47.453125" style="2066" customWidth="1"/>
    <col min="12295" max="12295" width="13" style="2066" customWidth="1"/>
    <col min="12296" max="12297" width="8.90625" style="2066"/>
    <col min="12298" max="12298" width="5.7265625" style="2066" customWidth="1"/>
    <col min="12299" max="12299" width="11.7265625" style="2066" customWidth="1"/>
    <col min="12300" max="12301" width="10.7265625" style="2066" customWidth="1"/>
    <col min="12302" max="12302" width="10" style="2066" customWidth="1"/>
    <col min="12303" max="12304" width="10.453125" style="2066" bestFit="1" customWidth="1"/>
    <col min="12305" max="12305" width="10" style="2066" customWidth="1"/>
    <col min="12306" max="12306" width="10.08984375" style="2066" customWidth="1"/>
    <col min="12307" max="12307" width="10" style="2066" customWidth="1"/>
    <col min="12308" max="12308" width="26.08984375" style="2066" customWidth="1"/>
    <col min="12309" max="12544" width="8.90625" style="2066"/>
    <col min="12545" max="12545" width="9.453125" style="2066" customWidth="1"/>
    <col min="12546" max="12546" width="8.90625" style="2066"/>
    <col min="12547" max="12549" width="12.90625" style="2066" customWidth="1"/>
    <col min="12550" max="12550" width="47.453125" style="2066" customWidth="1"/>
    <col min="12551" max="12551" width="13" style="2066" customWidth="1"/>
    <col min="12552" max="12553" width="8.90625" style="2066"/>
    <col min="12554" max="12554" width="5.7265625" style="2066" customWidth="1"/>
    <col min="12555" max="12555" width="11.7265625" style="2066" customWidth="1"/>
    <col min="12556" max="12557" width="10.7265625" style="2066" customWidth="1"/>
    <col min="12558" max="12558" width="10" style="2066" customWidth="1"/>
    <col min="12559" max="12560" width="10.453125" style="2066" bestFit="1" customWidth="1"/>
    <col min="12561" max="12561" width="10" style="2066" customWidth="1"/>
    <col min="12562" max="12562" width="10.08984375" style="2066" customWidth="1"/>
    <col min="12563" max="12563" width="10" style="2066" customWidth="1"/>
    <col min="12564" max="12564" width="26.08984375" style="2066" customWidth="1"/>
    <col min="12565" max="12800" width="8.90625" style="2066"/>
    <col min="12801" max="12801" width="9.453125" style="2066" customWidth="1"/>
    <col min="12802" max="12802" width="8.90625" style="2066"/>
    <col min="12803" max="12805" width="12.90625" style="2066" customWidth="1"/>
    <col min="12806" max="12806" width="47.453125" style="2066" customWidth="1"/>
    <col min="12807" max="12807" width="13" style="2066" customWidth="1"/>
    <col min="12808" max="12809" width="8.90625" style="2066"/>
    <col min="12810" max="12810" width="5.7265625" style="2066" customWidth="1"/>
    <col min="12811" max="12811" width="11.7265625" style="2066" customWidth="1"/>
    <col min="12812" max="12813" width="10.7265625" style="2066" customWidth="1"/>
    <col min="12814" max="12814" width="10" style="2066" customWidth="1"/>
    <col min="12815" max="12816" width="10.453125" style="2066" bestFit="1" customWidth="1"/>
    <col min="12817" max="12817" width="10" style="2066" customWidth="1"/>
    <col min="12818" max="12818" width="10.08984375" style="2066" customWidth="1"/>
    <col min="12819" max="12819" width="10" style="2066" customWidth="1"/>
    <col min="12820" max="12820" width="26.08984375" style="2066" customWidth="1"/>
    <col min="12821" max="13056" width="8.90625" style="2066"/>
    <col min="13057" max="13057" width="9.453125" style="2066" customWidth="1"/>
    <col min="13058" max="13058" width="8.90625" style="2066"/>
    <col min="13059" max="13061" width="12.90625" style="2066" customWidth="1"/>
    <col min="13062" max="13062" width="47.453125" style="2066" customWidth="1"/>
    <col min="13063" max="13063" width="13" style="2066" customWidth="1"/>
    <col min="13064" max="13065" width="8.90625" style="2066"/>
    <col min="13066" max="13066" width="5.7265625" style="2066" customWidth="1"/>
    <col min="13067" max="13067" width="11.7265625" style="2066" customWidth="1"/>
    <col min="13068" max="13069" width="10.7265625" style="2066" customWidth="1"/>
    <col min="13070" max="13070" width="10" style="2066" customWidth="1"/>
    <col min="13071" max="13072" width="10.453125" style="2066" bestFit="1" customWidth="1"/>
    <col min="13073" max="13073" width="10" style="2066" customWidth="1"/>
    <col min="13074" max="13074" width="10.08984375" style="2066" customWidth="1"/>
    <col min="13075" max="13075" width="10" style="2066" customWidth="1"/>
    <col min="13076" max="13076" width="26.08984375" style="2066" customWidth="1"/>
    <col min="13077" max="13312" width="8.90625" style="2066"/>
    <col min="13313" max="13313" width="9.453125" style="2066" customWidth="1"/>
    <col min="13314" max="13314" width="8.90625" style="2066"/>
    <col min="13315" max="13317" width="12.90625" style="2066" customWidth="1"/>
    <col min="13318" max="13318" width="47.453125" style="2066" customWidth="1"/>
    <col min="13319" max="13319" width="13" style="2066" customWidth="1"/>
    <col min="13320" max="13321" width="8.90625" style="2066"/>
    <col min="13322" max="13322" width="5.7265625" style="2066" customWidth="1"/>
    <col min="13323" max="13323" width="11.7265625" style="2066" customWidth="1"/>
    <col min="13324" max="13325" width="10.7265625" style="2066" customWidth="1"/>
    <col min="13326" max="13326" width="10" style="2066" customWidth="1"/>
    <col min="13327" max="13328" width="10.453125" style="2066" bestFit="1" customWidth="1"/>
    <col min="13329" max="13329" width="10" style="2066" customWidth="1"/>
    <col min="13330" max="13330" width="10.08984375" style="2066" customWidth="1"/>
    <col min="13331" max="13331" width="10" style="2066" customWidth="1"/>
    <col min="13332" max="13332" width="26.08984375" style="2066" customWidth="1"/>
    <col min="13333" max="13568" width="8.90625" style="2066"/>
    <col min="13569" max="13569" width="9.453125" style="2066" customWidth="1"/>
    <col min="13570" max="13570" width="8.90625" style="2066"/>
    <col min="13571" max="13573" width="12.90625" style="2066" customWidth="1"/>
    <col min="13574" max="13574" width="47.453125" style="2066" customWidth="1"/>
    <col min="13575" max="13575" width="13" style="2066" customWidth="1"/>
    <col min="13576" max="13577" width="8.90625" style="2066"/>
    <col min="13578" max="13578" width="5.7265625" style="2066" customWidth="1"/>
    <col min="13579" max="13579" width="11.7265625" style="2066" customWidth="1"/>
    <col min="13580" max="13581" width="10.7265625" style="2066" customWidth="1"/>
    <col min="13582" max="13582" width="10" style="2066" customWidth="1"/>
    <col min="13583" max="13584" width="10.453125" style="2066" bestFit="1" customWidth="1"/>
    <col min="13585" max="13585" width="10" style="2066" customWidth="1"/>
    <col min="13586" max="13586" width="10.08984375" style="2066" customWidth="1"/>
    <col min="13587" max="13587" width="10" style="2066" customWidth="1"/>
    <col min="13588" max="13588" width="26.08984375" style="2066" customWidth="1"/>
    <col min="13589" max="13824" width="8.90625" style="2066"/>
    <col min="13825" max="13825" width="9.453125" style="2066" customWidth="1"/>
    <col min="13826" max="13826" width="8.90625" style="2066"/>
    <col min="13827" max="13829" width="12.90625" style="2066" customWidth="1"/>
    <col min="13830" max="13830" width="47.453125" style="2066" customWidth="1"/>
    <col min="13831" max="13831" width="13" style="2066" customWidth="1"/>
    <col min="13832" max="13833" width="8.90625" style="2066"/>
    <col min="13834" max="13834" width="5.7265625" style="2066" customWidth="1"/>
    <col min="13835" max="13835" width="11.7265625" style="2066" customWidth="1"/>
    <col min="13836" max="13837" width="10.7265625" style="2066" customWidth="1"/>
    <col min="13838" max="13838" width="10" style="2066" customWidth="1"/>
    <col min="13839" max="13840" width="10.453125" style="2066" bestFit="1" customWidth="1"/>
    <col min="13841" max="13841" width="10" style="2066" customWidth="1"/>
    <col min="13842" max="13842" width="10.08984375" style="2066" customWidth="1"/>
    <col min="13843" max="13843" width="10" style="2066" customWidth="1"/>
    <col min="13844" max="13844" width="26.08984375" style="2066" customWidth="1"/>
    <col min="13845" max="14080" width="8.90625" style="2066"/>
    <col min="14081" max="14081" width="9.453125" style="2066" customWidth="1"/>
    <col min="14082" max="14082" width="8.90625" style="2066"/>
    <col min="14083" max="14085" width="12.90625" style="2066" customWidth="1"/>
    <col min="14086" max="14086" width="47.453125" style="2066" customWidth="1"/>
    <col min="14087" max="14087" width="13" style="2066" customWidth="1"/>
    <col min="14088" max="14089" width="8.90625" style="2066"/>
    <col min="14090" max="14090" width="5.7265625" style="2066" customWidth="1"/>
    <col min="14091" max="14091" width="11.7265625" style="2066" customWidth="1"/>
    <col min="14092" max="14093" width="10.7265625" style="2066" customWidth="1"/>
    <col min="14094" max="14094" width="10" style="2066" customWidth="1"/>
    <col min="14095" max="14096" width="10.453125" style="2066" bestFit="1" customWidth="1"/>
    <col min="14097" max="14097" width="10" style="2066" customWidth="1"/>
    <col min="14098" max="14098" width="10.08984375" style="2066" customWidth="1"/>
    <col min="14099" max="14099" width="10" style="2066" customWidth="1"/>
    <col min="14100" max="14100" width="26.08984375" style="2066" customWidth="1"/>
    <col min="14101" max="14336" width="8.90625" style="2066"/>
    <col min="14337" max="14337" width="9.453125" style="2066" customWidth="1"/>
    <col min="14338" max="14338" width="8.90625" style="2066"/>
    <col min="14339" max="14341" width="12.90625" style="2066" customWidth="1"/>
    <col min="14342" max="14342" width="47.453125" style="2066" customWidth="1"/>
    <col min="14343" max="14343" width="13" style="2066" customWidth="1"/>
    <col min="14344" max="14345" width="8.90625" style="2066"/>
    <col min="14346" max="14346" width="5.7265625" style="2066" customWidth="1"/>
    <col min="14347" max="14347" width="11.7265625" style="2066" customWidth="1"/>
    <col min="14348" max="14349" width="10.7265625" style="2066" customWidth="1"/>
    <col min="14350" max="14350" width="10" style="2066" customWidth="1"/>
    <col min="14351" max="14352" width="10.453125" style="2066" bestFit="1" customWidth="1"/>
    <col min="14353" max="14353" width="10" style="2066" customWidth="1"/>
    <col min="14354" max="14354" width="10.08984375" style="2066" customWidth="1"/>
    <col min="14355" max="14355" width="10" style="2066" customWidth="1"/>
    <col min="14356" max="14356" width="26.08984375" style="2066" customWidth="1"/>
    <col min="14357" max="14592" width="8.90625" style="2066"/>
    <col min="14593" max="14593" width="9.453125" style="2066" customWidth="1"/>
    <col min="14594" max="14594" width="8.90625" style="2066"/>
    <col min="14595" max="14597" width="12.90625" style="2066" customWidth="1"/>
    <col min="14598" max="14598" width="47.453125" style="2066" customWidth="1"/>
    <col min="14599" max="14599" width="13" style="2066" customWidth="1"/>
    <col min="14600" max="14601" width="8.90625" style="2066"/>
    <col min="14602" max="14602" width="5.7265625" style="2066" customWidth="1"/>
    <col min="14603" max="14603" width="11.7265625" style="2066" customWidth="1"/>
    <col min="14604" max="14605" width="10.7265625" style="2066" customWidth="1"/>
    <col min="14606" max="14606" width="10" style="2066" customWidth="1"/>
    <col min="14607" max="14608" width="10.453125" style="2066" bestFit="1" customWidth="1"/>
    <col min="14609" max="14609" width="10" style="2066" customWidth="1"/>
    <col min="14610" max="14610" width="10.08984375" style="2066" customWidth="1"/>
    <col min="14611" max="14611" width="10" style="2066" customWidth="1"/>
    <col min="14612" max="14612" width="26.08984375" style="2066" customWidth="1"/>
    <col min="14613" max="14848" width="8.90625" style="2066"/>
    <col min="14849" max="14849" width="9.453125" style="2066" customWidth="1"/>
    <col min="14850" max="14850" width="8.90625" style="2066"/>
    <col min="14851" max="14853" width="12.90625" style="2066" customWidth="1"/>
    <col min="14854" max="14854" width="47.453125" style="2066" customWidth="1"/>
    <col min="14855" max="14855" width="13" style="2066" customWidth="1"/>
    <col min="14856" max="14857" width="8.90625" style="2066"/>
    <col min="14858" max="14858" width="5.7265625" style="2066" customWidth="1"/>
    <col min="14859" max="14859" width="11.7265625" style="2066" customWidth="1"/>
    <col min="14860" max="14861" width="10.7265625" style="2066" customWidth="1"/>
    <col min="14862" max="14862" width="10" style="2066" customWidth="1"/>
    <col min="14863" max="14864" width="10.453125" style="2066" bestFit="1" customWidth="1"/>
    <col min="14865" max="14865" width="10" style="2066" customWidth="1"/>
    <col min="14866" max="14866" width="10.08984375" style="2066" customWidth="1"/>
    <col min="14867" max="14867" width="10" style="2066" customWidth="1"/>
    <col min="14868" max="14868" width="26.08984375" style="2066" customWidth="1"/>
    <col min="14869" max="15104" width="8.90625" style="2066"/>
    <col min="15105" max="15105" width="9.453125" style="2066" customWidth="1"/>
    <col min="15106" max="15106" width="8.90625" style="2066"/>
    <col min="15107" max="15109" width="12.90625" style="2066" customWidth="1"/>
    <col min="15110" max="15110" width="47.453125" style="2066" customWidth="1"/>
    <col min="15111" max="15111" width="13" style="2066" customWidth="1"/>
    <col min="15112" max="15113" width="8.90625" style="2066"/>
    <col min="15114" max="15114" width="5.7265625" style="2066" customWidth="1"/>
    <col min="15115" max="15115" width="11.7265625" style="2066" customWidth="1"/>
    <col min="15116" max="15117" width="10.7265625" style="2066" customWidth="1"/>
    <col min="15118" max="15118" width="10" style="2066" customWidth="1"/>
    <col min="15119" max="15120" width="10.453125" style="2066" bestFit="1" customWidth="1"/>
    <col min="15121" max="15121" width="10" style="2066" customWidth="1"/>
    <col min="15122" max="15122" width="10.08984375" style="2066" customWidth="1"/>
    <col min="15123" max="15123" width="10" style="2066" customWidth="1"/>
    <col min="15124" max="15124" width="26.08984375" style="2066" customWidth="1"/>
    <col min="15125" max="15360" width="8.90625" style="2066"/>
    <col min="15361" max="15361" width="9.453125" style="2066" customWidth="1"/>
    <col min="15362" max="15362" width="8.90625" style="2066"/>
    <col min="15363" max="15365" width="12.90625" style="2066" customWidth="1"/>
    <col min="15366" max="15366" width="47.453125" style="2066" customWidth="1"/>
    <col min="15367" max="15367" width="13" style="2066" customWidth="1"/>
    <col min="15368" max="15369" width="8.90625" style="2066"/>
    <col min="15370" max="15370" width="5.7265625" style="2066" customWidth="1"/>
    <col min="15371" max="15371" width="11.7265625" style="2066" customWidth="1"/>
    <col min="15372" max="15373" width="10.7265625" style="2066" customWidth="1"/>
    <col min="15374" max="15374" width="10" style="2066" customWidth="1"/>
    <col min="15375" max="15376" width="10.453125" style="2066" bestFit="1" customWidth="1"/>
    <col min="15377" max="15377" width="10" style="2066" customWidth="1"/>
    <col min="15378" max="15378" width="10.08984375" style="2066" customWidth="1"/>
    <col min="15379" max="15379" width="10" style="2066" customWidth="1"/>
    <col min="15380" max="15380" width="26.08984375" style="2066" customWidth="1"/>
    <col min="15381" max="15616" width="8.90625" style="2066"/>
    <col min="15617" max="15617" width="9.453125" style="2066" customWidth="1"/>
    <col min="15618" max="15618" width="8.90625" style="2066"/>
    <col min="15619" max="15621" width="12.90625" style="2066" customWidth="1"/>
    <col min="15622" max="15622" width="47.453125" style="2066" customWidth="1"/>
    <col min="15623" max="15623" width="13" style="2066" customWidth="1"/>
    <col min="15624" max="15625" width="8.90625" style="2066"/>
    <col min="15626" max="15626" width="5.7265625" style="2066" customWidth="1"/>
    <col min="15627" max="15627" width="11.7265625" style="2066" customWidth="1"/>
    <col min="15628" max="15629" width="10.7265625" style="2066" customWidth="1"/>
    <col min="15630" max="15630" width="10" style="2066" customWidth="1"/>
    <col min="15631" max="15632" width="10.453125" style="2066" bestFit="1" customWidth="1"/>
    <col min="15633" max="15633" width="10" style="2066" customWidth="1"/>
    <col min="15634" max="15634" width="10.08984375" style="2066" customWidth="1"/>
    <col min="15635" max="15635" width="10" style="2066" customWidth="1"/>
    <col min="15636" max="15636" width="26.08984375" style="2066" customWidth="1"/>
    <col min="15637" max="15872" width="8.90625" style="2066"/>
    <col min="15873" max="15873" width="9.453125" style="2066" customWidth="1"/>
    <col min="15874" max="15874" width="8.90625" style="2066"/>
    <col min="15875" max="15877" width="12.90625" style="2066" customWidth="1"/>
    <col min="15878" max="15878" width="47.453125" style="2066" customWidth="1"/>
    <col min="15879" max="15879" width="13" style="2066" customWidth="1"/>
    <col min="15880" max="15881" width="8.90625" style="2066"/>
    <col min="15882" max="15882" width="5.7265625" style="2066" customWidth="1"/>
    <col min="15883" max="15883" width="11.7265625" style="2066" customWidth="1"/>
    <col min="15884" max="15885" width="10.7265625" style="2066" customWidth="1"/>
    <col min="15886" max="15886" width="10" style="2066" customWidth="1"/>
    <col min="15887" max="15888" width="10.453125" style="2066" bestFit="1" customWidth="1"/>
    <col min="15889" max="15889" width="10" style="2066" customWidth="1"/>
    <col min="15890" max="15890" width="10.08984375" style="2066" customWidth="1"/>
    <col min="15891" max="15891" width="10" style="2066" customWidth="1"/>
    <col min="15892" max="15892" width="26.08984375" style="2066" customWidth="1"/>
    <col min="15893" max="16128" width="8.90625" style="2066"/>
    <col min="16129" max="16129" width="9.453125" style="2066" customWidth="1"/>
    <col min="16130" max="16130" width="8.90625" style="2066"/>
    <col min="16131" max="16133" width="12.90625" style="2066" customWidth="1"/>
    <col min="16134" max="16134" width="47.453125" style="2066" customWidth="1"/>
    <col min="16135" max="16135" width="13" style="2066" customWidth="1"/>
    <col min="16136" max="16137" width="8.90625" style="2066"/>
    <col min="16138" max="16138" width="5.7265625" style="2066" customWidth="1"/>
    <col min="16139" max="16139" width="11.7265625" style="2066" customWidth="1"/>
    <col min="16140" max="16141" width="10.7265625" style="2066" customWidth="1"/>
    <col min="16142" max="16142" width="10" style="2066" customWidth="1"/>
    <col min="16143" max="16144" width="10.453125" style="2066" bestFit="1" customWidth="1"/>
    <col min="16145" max="16145" width="10" style="2066" customWidth="1"/>
    <col min="16146" max="16146" width="10.08984375" style="2066" customWidth="1"/>
    <col min="16147" max="16147" width="10" style="2066" customWidth="1"/>
    <col min="16148" max="16148" width="26.08984375" style="2066" customWidth="1"/>
    <col min="16149" max="16384" width="8.9062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15" customHeight="1">
      <c r="A2" s="936" t="s">
        <v>2210</v>
      </c>
      <c r="B2" s="3441" t="e">
        <f>IF(D2="——",C40,C40+E2)</f>
        <v>#DIV/0!</v>
      </c>
      <c r="C2" s="2067" t="s">
        <v>2211</v>
      </c>
      <c r="D2" s="2480" t="s">
        <v>3245</v>
      </c>
      <c r="E2" s="2481"/>
      <c r="F2" s="2069"/>
      <c r="G2" s="2070"/>
      <c r="H2" s="2071"/>
      <c r="I2" s="2072"/>
      <c r="J2" s="4522" t="s">
        <v>2212</v>
      </c>
      <c r="K2" s="4523"/>
      <c r="L2" s="2073" t="s">
        <v>2213</v>
      </c>
      <c r="M2" s="2073" t="s">
        <v>2214</v>
      </c>
      <c r="N2" s="2073" t="s">
        <v>2215</v>
      </c>
      <c r="O2" s="2073" t="s">
        <v>2216</v>
      </c>
      <c r="P2" s="2073" t="s">
        <v>2217</v>
      </c>
      <c r="Q2" s="2074" t="s">
        <v>2218</v>
      </c>
      <c r="R2" s="2075" t="s">
        <v>2219</v>
      </c>
      <c r="S2" s="2065"/>
      <c r="T2" s="2065"/>
      <c r="U2" s="2065"/>
      <c r="V2" s="2072"/>
    </row>
    <row r="3" spans="1:22" s="2076" customFormat="1" ht="13.15" customHeight="1">
      <c r="A3" s="2077" t="s">
        <v>2220</v>
      </c>
      <c r="B3" s="3442" t="e">
        <f>ROUND(B2*10000/B4,0)</f>
        <v>#DIV/0!</v>
      </c>
      <c r="C3" s="2067" t="s">
        <v>2221</v>
      </c>
      <c r="D3" s="2067"/>
      <c r="E3" s="2068"/>
      <c r="F3" s="2069"/>
      <c r="G3" s="2070"/>
      <c r="H3" s="2071"/>
      <c r="I3" s="2072"/>
      <c r="J3" s="4524" t="s">
        <v>2222</v>
      </c>
      <c r="K3" s="4525"/>
      <c r="L3" s="2078"/>
      <c r="M3" s="2078"/>
      <c r="N3" s="2078"/>
      <c r="O3" s="2078"/>
      <c r="P3" s="2078"/>
      <c r="Q3" s="2079"/>
      <c r="R3" s="2080">
        <f>SUM(L3:Q3)</f>
        <v>0</v>
      </c>
      <c r="S3" s="2065"/>
      <c r="T3" s="2065"/>
      <c r="U3" s="2065"/>
      <c r="V3" s="2072"/>
    </row>
    <row r="4" spans="1:22" s="2076" customFormat="1" ht="13.15" customHeight="1">
      <c r="A4" s="2081" t="s">
        <v>2223</v>
      </c>
      <c r="B4" s="2114"/>
      <c r="C4" s="2067"/>
      <c r="D4" s="2067"/>
      <c r="E4" s="2068"/>
      <c r="F4" s="2069"/>
      <c r="G4" s="2070"/>
      <c r="H4" s="2071"/>
      <c r="I4" s="2072"/>
      <c r="J4" s="4524" t="s">
        <v>2224</v>
      </c>
      <c r="K4" s="4525"/>
      <c r="L4" s="2083"/>
      <c r="M4" s="2083"/>
      <c r="N4" s="2083"/>
      <c r="O4" s="2083"/>
      <c r="P4" s="2083"/>
      <c r="Q4" s="2084"/>
      <c r="R4" s="2085">
        <f>SUM(L4:Q4)</f>
        <v>0</v>
      </c>
      <c r="S4" s="2065"/>
      <c r="T4" s="2065"/>
      <c r="U4" s="2065"/>
      <c r="V4" s="2072"/>
    </row>
    <row r="5" spans="1:22" s="2076" customFormat="1" ht="13.15" customHeight="1" thickBot="1">
      <c r="A5" s="2086" t="s">
        <v>2225</v>
      </c>
      <c r="B5" s="3443"/>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15" customHeight="1" thickBot="1">
      <c r="A6" s="4531" t="s">
        <v>3792</v>
      </c>
      <c r="B6" s="4532"/>
      <c r="C6" s="4533"/>
      <c r="D6" s="3444"/>
      <c r="E6" s="3581"/>
      <c r="F6" s="2092"/>
      <c r="G6" s="2093"/>
      <c r="H6" s="2071"/>
      <c r="I6" s="2072"/>
      <c r="J6" s="4516">
        <v>1</v>
      </c>
      <c r="K6" s="4517"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15" customHeight="1">
      <c r="A7" s="2096" t="s">
        <v>2237</v>
      </c>
      <c r="B7" s="2097"/>
      <c r="C7" s="2098"/>
      <c r="D7" s="3445">
        <f>SUM(D9,D10,D11,D17,0)</f>
        <v>0</v>
      </c>
      <c r="E7" s="2099" t="e">
        <f>E9+E10+E11+E17</f>
        <v>#DIV/0!</v>
      </c>
      <c r="F7" s="2100"/>
      <c r="G7" s="2101"/>
      <c r="H7" s="2071"/>
      <c r="I7" s="2072"/>
      <c r="J7" s="4516"/>
      <c r="K7" s="4518"/>
      <c r="L7" s="2102" t="s">
        <v>2238</v>
      </c>
      <c r="M7" s="3679"/>
      <c r="N7" s="3678"/>
      <c r="O7" s="4228"/>
      <c r="P7" s="4228"/>
      <c r="Q7" s="3678">
        <v>365</v>
      </c>
      <c r="R7" s="3677">
        <f>ROUND(M7*N7*O7*P7*Q7/10000,0)</f>
        <v>0</v>
      </c>
      <c r="S7" s="2065"/>
      <c r="T7" s="2065" t="s">
        <v>2239</v>
      </c>
      <c r="U7" s="2065"/>
      <c r="V7" s="2072"/>
    </row>
    <row r="8" spans="1:22" s="2076" customFormat="1" ht="13.15" customHeight="1">
      <c r="A8" s="2106" t="s">
        <v>2240</v>
      </c>
      <c r="B8" s="4534" t="s">
        <v>2241</v>
      </c>
      <c r="C8" s="4535"/>
      <c r="D8" s="4067" t="s">
        <v>3954</v>
      </c>
      <c r="E8" s="2107" t="s">
        <v>2242</v>
      </c>
      <c r="F8" s="2108" t="s">
        <v>2243</v>
      </c>
      <c r="G8" s="2109"/>
      <c r="H8" s="2071"/>
      <c r="I8" s="2072"/>
      <c r="J8" s="4516"/>
      <c r="K8" s="4518"/>
      <c r="L8" s="2102" t="s">
        <v>2244</v>
      </c>
      <c r="M8" s="3679"/>
      <c r="N8" s="3678"/>
      <c r="O8" s="4228"/>
      <c r="P8" s="4228"/>
      <c r="Q8" s="3678">
        <v>365</v>
      </c>
      <c r="R8" s="3677">
        <f t="shared" ref="R8:R13" si="0">ROUND(M8*N8*O8*P8*Q8/10000,0)</f>
        <v>0</v>
      </c>
      <c r="S8" s="2065"/>
      <c r="T8" s="2065" t="s">
        <v>2245</v>
      </c>
      <c r="U8" s="2065"/>
      <c r="V8" s="2072"/>
    </row>
    <row r="9" spans="1:22" s="2076" customFormat="1" ht="13.15" customHeight="1">
      <c r="A9" s="2106">
        <v>1</v>
      </c>
      <c r="B9" s="4534" t="s">
        <v>2246</v>
      </c>
      <c r="C9" s="4535"/>
      <c r="D9" s="3446">
        <f>ROUND(D6*E9,0)</f>
        <v>0</v>
      </c>
      <c r="E9" s="3447"/>
      <c r="F9" s="2110" t="s">
        <v>2247</v>
      </c>
      <c r="G9" s="2093"/>
      <c r="H9" s="2071"/>
      <c r="I9" s="2072"/>
      <c r="J9" s="4516"/>
      <c r="K9" s="4518"/>
      <c r="L9" s="2102" t="s">
        <v>2248</v>
      </c>
      <c r="M9" s="3679"/>
      <c r="N9" s="3678"/>
      <c r="O9" s="4228"/>
      <c r="P9" s="4228"/>
      <c r="Q9" s="3678">
        <v>365</v>
      </c>
      <c r="R9" s="3677">
        <f t="shared" si="0"/>
        <v>0</v>
      </c>
      <c r="S9" s="2065"/>
      <c r="T9" s="2065"/>
      <c r="U9" s="2065"/>
      <c r="V9" s="2072"/>
    </row>
    <row r="10" spans="1:22" s="2076" customFormat="1" ht="13.15" customHeight="1">
      <c r="A10" s="2106">
        <v>2</v>
      </c>
      <c r="B10" s="4534" t="s">
        <v>2249</v>
      </c>
      <c r="C10" s="4535"/>
      <c r="D10" s="3446">
        <f>ROUND(D6*E10,0)</f>
        <v>0</v>
      </c>
      <c r="E10" s="3447"/>
      <c r="F10" s="3576" t="s">
        <v>3717</v>
      </c>
      <c r="G10" s="2093"/>
      <c r="H10" s="2071"/>
      <c r="I10" s="2072"/>
      <c r="J10" s="4516"/>
      <c r="K10" s="4518"/>
      <c r="L10" s="2102" t="s">
        <v>2250</v>
      </c>
      <c r="M10" s="3679"/>
      <c r="N10" s="3678"/>
      <c r="O10" s="4228"/>
      <c r="P10" s="4228"/>
      <c r="Q10" s="3678">
        <v>365</v>
      </c>
      <c r="R10" s="3677">
        <f t="shared" si="0"/>
        <v>0</v>
      </c>
      <c r="S10" s="2065"/>
      <c r="T10" s="2065"/>
      <c r="U10" s="2065"/>
      <c r="V10" s="2072"/>
    </row>
    <row r="11" spans="1:22" s="2076" customFormat="1" ht="13.15" customHeight="1">
      <c r="A11" s="2106">
        <v>3</v>
      </c>
      <c r="B11" s="4534" t="s">
        <v>2251</v>
      </c>
      <c r="C11" s="4535"/>
      <c r="D11" s="3446">
        <f>D12+D14+D15+D16</f>
        <v>0</v>
      </c>
      <c r="E11" s="3448" t="e">
        <f>D11/D6</f>
        <v>#DIV/0!</v>
      </c>
      <c r="F11" s="2108"/>
      <c r="G11" s="2109"/>
      <c r="H11" s="2071"/>
      <c r="I11" s="2072"/>
      <c r="J11" s="4516"/>
      <c r="K11" s="4518"/>
      <c r="L11" s="2102" t="s">
        <v>2252</v>
      </c>
      <c r="M11" s="3679"/>
      <c r="N11" s="3678"/>
      <c r="O11" s="4228"/>
      <c r="P11" s="4228"/>
      <c r="Q11" s="3678">
        <v>365</v>
      </c>
      <c r="R11" s="3677">
        <f t="shared" si="0"/>
        <v>0</v>
      </c>
      <c r="S11" s="2065"/>
      <c r="T11" s="2065"/>
      <c r="U11" s="2065"/>
      <c r="V11" s="2072"/>
    </row>
    <row r="12" spans="1:22" s="2076" customFormat="1" ht="13.15" customHeight="1">
      <c r="A12" s="2111" t="s">
        <v>2253</v>
      </c>
      <c r="B12" s="4528" t="s">
        <v>2254</v>
      </c>
      <c r="C12" s="4527"/>
      <c r="D12" s="3449">
        <f>ROUND(D13*1.2%*(1-30%),0)</f>
        <v>0</v>
      </c>
      <c r="E12" s="3450">
        <v>1.2E-2</v>
      </c>
      <c r="F12" s="2108" t="s">
        <v>2255</v>
      </c>
      <c r="G12" s="2109"/>
      <c r="H12" s="2071"/>
      <c r="I12" s="2072"/>
      <c r="J12" s="4516"/>
      <c r="K12" s="4518"/>
      <c r="L12" s="2102" t="s">
        <v>2256</v>
      </c>
      <c r="M12" s="3679"/>
      <c r="N12" s="3678"/>
      <c r="O12" s="4228"/>
      <c r="P12" s="4228"/>
      <c r="Q12" s="3678">
        <v>365</v>
      </c>
      <c r="R12" s="3677">
        <f t="shared" si="0"/>
        <v>0</v>
      </c>
      <c r="S12" s="2065"/>
      <c r="T12" s="2065"/>
      <c r="U12" s="2065"/>
      <c r="V12" s="2072"/>
    </row>
    <row r="13" spans="1:22" s="2076" customFormat="1" ht="13.15" customHeight="1">
      <c r="A13" s="2111"/>
      <c r="B13" s="2112"/>
      <c r="C13" s="2113" t="s">
        <v>2257</v>
      </c>
      <c r="D13" s="3451"/>
      <c r="E13" s="2115"/>
      <c r="F13" s="2108"/>
      <c r="G13" s="2109"/>
      <c r="H13" s="2071"/>
      <c r="I13" s="2072"/>
      <c r="J13" s="4516"/>
      <c r="K13" s="4518"/>
      <c r="L13" s="2102" t="s">
        <v>2258</v>
      </c>
      <c r="M13" s="3679"/>
      <c r="N13" s="3678"/>
      <c r="O13" s="4228"/>
      <c r="P13" s="4228"/>
      <c r="Q13" s="3678">
        <v>365</v>
      </c>
      <c r="R13" s="3677">
        <f t="shared" si="0"/>
        <v>0</v>
      </c>
      <c r="S13" s="2065"/>
      <c r="T13" s="2065"/>
      <c r="U13" s="2065"/>
      <c r="V13" s="2072"/>
    </row>
    <row r="14" spans="1:22" s="2076" customFormat="1" ht="13.15" customHeight="1">
      <c r="A14" s="2111" t="s">
        <v>2259</v>
      </c>
      <c r="B14" s="4528" t="s">
        <v>2260</v>
      </c>
      <c r="C14" s="4527"/>
      <c r="D14" s="3449">
        <f>ROUND(E14*B5/10000,0)</f>
        <v>0</v>
      </c>
      <c r="E14" s="3452"/>
      <c r="F14" s="2108" t="s">
        <v>2261</v>
      </c>
      <c r="G14" s="2109"/>
      <c r="H14" s="2071"/>
      <c r="I14" s="2072"/>
      <c r="J14" s="4516"/>
      <c r="K14" s="4519"/>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2263</v>
      </c>
      <c r="B15" s="4526" t="s">
        <v>3789</v>
      </c>
      <c r="C15" s="4527"/>
      <c r="D15" s="3449">
        <f>IF(F15="酒店",E48*(1+E15),IF(F15="购物中心",E67*(1+E15),IF(F15="按比例计算-酒店",E46,E65)))</f>
        <v>0</v>
      </c>
      <c r="E15" s="3450">
        <f>'数据-取费表'!B44</f>
        <v>0.12000000000000001</v>
      </c>
      <c r="F15" s="3579" t="s">
        <v>3848</v>
      </c>
      <c r="G15" s="3580"/>
      <c r="H15" s="2071"/>
      <c r="I15" s="2072"/>
      <c r="J15" s="4516">
        <v>2</v>
      </c>
      <c r="K15" s="4517"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15" customHeight="1">
      <c r="A16" s="2111" t="s">
        <v>2270</v>
      </c>
      <c r="B16" s="4528" t="s">
        <v>2271</v>
      </c>
      <c r="C16" s="4527"/>
      <c r="D16" s="3453">
        <f>D6*E16</f>
        <v>0</v>
      </c>
      <c r="E16" s="3454"/>
      <c r="F16" s="2110" t="s">
        <v>2272</v>
      </c>
      <c r="G16" s="2093"/>
      <c r="H16" s="2071"/>
      <c r="I16" s="2072"/>
      <c r="J16" s="4516"/>
      <c r="K16" s="4518"/>
      <c r="L16" s="2102" t="s">
        <v>2273</v>
      </c>
      <c r="M16" s="3679"/>
      <c r="N16" s="3679"/>
      <c r="O16" s="4230"/>
      <c r="P16" s="3678">
        <v>365</v>
      </c>
      <c r="Q16" s="3678"/>
      <c r="R16" s="3677">
        <f>ROUND(M16*N16*O16*P16/10000,0)</f>
        <v>0</v>
      </c>
      <c r="S16" s="2065"/>
      <c r="T16" s="2065"/>
      <c r="U16" s="2065"/>
      <c r="V16" s="2072"/>
    </row>
    <row r="17" spans="1:22" s="2076" customFormat="1" ht="13.15" customHeight="1" thickBot="1">
      <c r="A17" s="2121">
        <v>4</v>
      </c>
      <c r="B17" s="4529" t="s">
        <v>2274</v>
      </c>
      <c r="C17" s="4530"/>
      <c r="D17" s="3455">
        <f>ROUND(D6*E17,0)</f>
        <v>0</v>
      </c>
      <c r="E17" s="3456"/>
      <c r="F17" s="3577" t="s">
        <v>3718</v>
      </c>
      <c r="G17" s="2093"/>
      <c r="H17" s="2071"/>
      <c r="I17" s="2072"/>
      <c r="J17" s="4516"/>
      <c r="K17" s="4518"/>
      <c r="L17" s="2102" t="s">
        <v>2275</v>
      </c>
      <c r="M17" s="3679"/>
      <c r="N17" s="3679"/>
      <c r="O17" s="4230"/>
      <c r="P17" s="3678">
        <v>365</v>
      </c>
      <c r="Q17" s="3678"/>
      <c r="R17" s="3677">
        <f>ROUND(M17*N17*O17*P17/10000,0)</f>
        <v>0</v>
      </c>
      <c r="S17" s="2065"/>
      <c r="T17" s="2065"/>
      <c r="U17" s="2065"/>
      <c r="V17" s="2072"/>
    </row>
    <row r="18" spans="1:22" s="2076" customFormat="1" ht="13.15" customHeight="1" thickBot="1">
      <c r="A18" s="2096" t="s">
        <v>2276</v>
      </c>
      <c r="B18" s="2097"/>
      <c r="C18" s="2097"/>
      <c r="D18" s="3457">
        <f>ROUND(D6*E18,0)</f>
        <v>0</v>
      </c>
      <c r="E18" s="3458"/>
      <c r="F18" s="2122" t="s">
        <v>2277</v>
      </c>
      <c r="G18" s="2093"/>
      <c r="H18" s="2071"/>
      <c r="I18" s="2072"/>
      <c r="J18" s="4516"/>
      <c r="K18" s="4518"/>
      <c r="L18" s="2102" t="s">
        <v>2278</v>
      </c>
      <c r="M18" s="3679"/>
      <c r="N18" s="3679"/>
      <c r="O18" s="4230"/>
      <c r="P18" s="3678">
        <v>365</v>
      </c>
      <c r="Q18" s="3678"/>
      <c r="R18" s="3677">
        <f>ROUND(M18*N18*O18*P18/10000,0)</f>
        <v>0</v>
      </c>
      <c r="S18" s="2065"/>
      <c r="T18" s="2065"/>
      <c r="U18" s="2065"/>
      <c r="V18" s="2072"/>
    </row>
    <row r="19" spans="1:22" s="2076" customFormat="1" ht="13.15" customHeight="1" thickBot="1">
      <c r="A19" s="2123" t="s">
        <v>2279</v>
      </c>
      <c r="B19" s="2091"/>
      <c r="C19" s="2091"/>
      <c r="D19" s="2091"/>
      <c r="E19" s="2091"/>
      <c r="F19" s="2092"/>
      <c r="G19" s="2109"/>
      <c r="H19" s="2071"/>
      <c r="I19" s="2072"/>
      <c r="J19" s="4516"/>
      <c r="K19" s="4519"/>
      <c r="L19" s="2116" t="s">
        <v>2262</v>
      </c>
      <c r="M19" s="2117"/>
      <c r="N19" s="2117">
        <f>SUM(N16:N18)</f>
        <v>0</v>
      </c>
      <c r="O19" s="2118"/>
      <c r="P19" s="2124" t="s">
        <v>2323</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16">
        <v>3</v>
      </c>
      <c r="K20" s="4517"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15" customHeight="1">
      <c r="A21" s="2096"/>
      <c r="B21" s="2097"/>
      <c r="C21" s="2127" t="s">
        <v>2288</v>
      </c>
      <c r="D21" s="2128" t="s">
        <v>2289</v>
      </c>
      <c r="E21" s="2129" t="s">
        <v>2290</v>
      </c>
      <c r="F21" s="2125"/>
      <c r="G21" s="2109"/>
      <c r="H21" s="2071"/>
      <c r="I21" s="2072"/>
      <c r="J21" s="4516"/>
      <c r="K21" s="4518"/>
      <c r="L21" s="2102" t="s">
        <v>2291</v>
      </c>
      <c r="M21" s="3679"/>
      <c r="N21" s="3679"/>
      <c r="O21" s="4229"/>
      <c r="P21" s="3678">
        <v>365</v>
      </c>
      <c r="Q21" s="3678"/>
      <c r="R21" s="3680">
        <f>ROUND(M21*N21*O21*P21/10000,0)</f>
        <v>0</v>
      </c>
      <c r="S21" s="2065"/>
      <c r="T21" s="2065"/>
      <c r="U21" s="2065"/>
      <c r="V21" s="2072"/>
    </row>
    <row r="22" spans="1:22" s="2076" customFormat="1" ht="13.15" customHeight="1">
      <c r="A22" s="2096"/>
      <c r="B22" s="2097"/>
      <c r="C22" s="2130" t="s">
        <v>2292</v>
      </c>
      <c r="D22" s="2131" t="s">
        <v>2293</v>
      </c>
      <c r="E22" s="2132" t="s">
        <v>2294</v>
      </c>
      <c r="F22" s="2125"/>
      <c r="G22" s="2065"/>
      <c r="H22" s="2071"/>
      <c r="I22" s="2072"/>
      <c r="J22" s="4516"/>
      <c r="K22" s="4518"/>
      <c r="L22" s="2102" t="s">
        <v>2295</v>
      </c>
      <c r="M22" s="3679"/>
      <c r="N22" s="3679"/>
      <c r="O22" s="4229"/>
      <c r="P22" s="3678">
        <v>365</v>
      </c>
      <c r="Q22" s="3678"/>
      <c r="R22" s="3680">
        <f>ROUND(M22*N22*O22*P22/10000,0)</f>
        <v>0</v>
      </c>
      <c r="S22" s="2065"/>
      <c r="T22" s="2065"/>
      <c r="U22" s="2065"/>
      <c r="V22" s="2072"/>
    </row>
    <row r="23" spans="1:22" s="2076" customFormat="1" ht="13.15" customHeight="1">
      <c r="A23" s="2133">
        <v>1</v>
      </c>
      <c r="B23" s="2134" t="s">
        <v>2296</v>
      </c>
      <c r="C23" s="2139">
        <f>D6</f>
        <v>0</v>
      </c>
      <c r="D23" s="3473">
        <f>C23*(1+D24)</f>
        <v>0</v>
      </c>
      <c r="E23" s="3474">
        <f>D23*(1+E24)</f>
        <v>0</v>
      </c>
      <c r="F23" s="2135"/>
      <c r="G23" s="2136"/>
      <c r="H23" s="2071"/>
      <c r="I23" s="2072"/>
      <c r="J23" s="4516"/>
      <c r="K23" s="4518"/>
      <c r="L23" s="2102" t="s">
        <v>2297</v>
      </c>
      <c r="M23" s="3679"/>
      <c r="N23" s="3679"/>
      <c r="O23" s="4229"/>
      <c r="P23" s="3678">
        <v>365</v>
      </c>
      <c r="Q23" s="3678"/>
      <c r="R23" s="3680">
        <f>ROUND(M23*N23*O23*P23/10000,0)</f>
        <v>0</v>
      </c>
      <c r="S23" s="2065"/>
      <c r="T23" s="2065"/>
      <c r="U23" s="2065"/>
      <c r="V23" s="2072"/>
    </row>
    <row r="24" spans="1:22" s="2076" customFormat="1" ht="13.15" customHeight="1">
      <c r="A24" s="2137"/>
      <c r="B24" s="2138" t="s">
        <v>2298</v>
      </c>
      <c r="C24" s="2139"/>
      <c r="D24" s="2140"/>
      <c r="E24" s="2141"/>
      <c r="F24" s="2142"/>
      <c r="G24" s="2136"/>
      <c r="H24" s="2071"/>
      <c r="I24" s="2072"/>
      <c r="J24" s="4516"/>
      <c r="K24" s="4519"/>
      <c r="L24" s="2116" t="s">
        <v>2262</v>
      </c>
      <c r="M24" s="2117">
        <f>SUM(M21:M23)</f>
        <v>0</v>
      </c>
      <c r="N24" s="2117"/>
      <c r="O24" s="2118"/>
      <c r="P24" s="2124" t="s">
        <v>2323</v>
      </c>
      <c r="Q24" s="2104">
        <v>0</v>
      </c>
      <c r="R24" s="3681">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2299</v>
      </c>
      <c r="L25" s="2145"/>
      <c r="M25" s="2145"/>
      <c r="N25" s="2145"/>
      <c r="O25" s="2145"/>
      <c r="P25" s="2146"/>
      <c r="Q25" s="2147">
        <v>0</v>
      </c>
      <c r="R25" s="3681">
        <f>ROUND(R14*Q25,0)</f>
        <v>0</v>
      </c>
      <c r="S25" s="2065"/>
      <c r="T25" s="2065"/>
      <c r="U25" s="2065"/>
      <c r="V25" s="2148"/>
    </row>
    <row r="26" spans="1:22" s="2149" customFormat="1" ht="13.15" customHeight="1">
      <c r="A26" s="2133">
        <v>2</v>
      </c>
      <c r="B26" s="2134" t="s">
        <v>2300</v>
      </c>
      <c r="C26" s="2139">
        <f>D7</f>
        <v>0</v>
      </c>
      <c r="D26" s="3459">
        <f>D23*D27</f>
        <v>0</v>
      </c>
      <c r="E26" s="3460">
        <f>E23*E27</f>
        <v>0</v>
      </c>
      <c r="F26" s="2135"/>
      <c r="G26" s="2136"/>
      <c r="H26" s="2071"/>
      <c r="I26" s="2072"/>
      <c r="J26" s="4520">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15" customHeight="1">
      <c r="A27" s="2137"/>
      <c r="B27" s="2138" t="s">
        <v>2306</v>
      </c>
      <c r="C27" s="2155" t="e">
        <f>E7</f>
        <v>#DIV/0!</v>
      </c>
      <c r="D27" s="2140"/>
      <c r="E27" s="2141"/>
      <c r="F27" s="2142"/>
      <c r="G27" s="2136"/>
      <c r="H27" s="2156"/>
      <c r="I27" s="2148"/>
      <c r="J27" s="4521"/>
      <c r="K27" s="2157"/>
      <c r="L27" s="2158"/>
      <c r="M27" s="2159"/>
      <c r="N27" s="3478"/>
      <c r="O27" s="3478"/>
      <c r="P27" s="3478"/>
      <c r="Q27" s="4231"/>
      <c r="R27" s="3681">
        <f>ROUND(O27*N27*P27*(1-Q27)/10000,0)</f>
        <v>0</v>
      </c>
      <c r="S27" s="2065"/>
      <c r="T27" s="2065"/>
      <c r="U27" s="2065"/>
      <c r="V27" s="2072"/>
    </row>
    <row r="28" spans="1:22" s="2149" customFormat="1" ht="13.15" customHeight="1" thickBot="1">
      <c r="A28" s="2137"/>
      <c r="B28" s="2138"/>
      <c r="C28" s="2155"/>
      <c r="D28" s="2140"/>
      <c r="E28" s="2141" t="s">
        <v>2307</v>
      </c>
      <c r="F28" s="2142"/>
      <c r="G28" s="2065"/>
      <c r="H28" s="2156"/>
      <c r="I28" s="2148"/>
      <c r="J28" s="2160">
        <v>6</v>
      </c>
      <c r="K28" s="2161" t="s">
        <v>2308</v>
      </c>
      <c r="L28" s="2162" t="s">
        <v>2309</v>
      </c>
      <c r="M28" s="3480"/>
      <c r="N28" s="2162" t="s">
        <v>2310</v>
      </c>
      <c r="O28" s="2164"/>
      <c r="P28" s="2162" t="s">
        <v>2311</v>
      </c>
      <c r="Q28" s="2165">
        <v>1.4999999999999999E-2</v>
      </c>
      <c r="R28" s="3479"/>
      <c r="S28" s="2065"/>
      <c r="T28" s="2065"/>
      <c r="U28" s="2065"/>
      <c r="V28" s="2148"/>
    </row>
    <row r="29" spans="1:22" s="2149" customFormat="1" ht="13.15" customHeight="1">
      <c r="A29" s="2133">
        <v>3</v>
      </c>
      <c r="B29" s="2134" t="s">
        <v>2312</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15" customHeight="1">
      <c r="A32" s="2133">
        <v>4</v>
      </c>
      <c r="B32" s="2134" t="s">
        <v>2314</v>
      </c>
      <c r="C32" s="2139">
        <f>C23-C26-C29</f>
        <v>0</v>
      </c>
      <c r="D32" s="3459">
        <f>D23-D26-D29</f>
        <v>0</v>
      </c>
      <c r="E32" s="3460">
        <f>E23-E26-E29</f>
        <v>0</v>
      </c>
      <c r="F32" s="2135"/>
      <c r="G32" s="2065"/>
      <c r="H32" s="2071"/>
      <c r="I32" s="2072"/>
      <c r="J32" s="4522" t="s">
        <v>2212</v>
      </c>
      <c r="K32" s="4523"/>
      <c r="L32" s="2073" t="s">
        <v>2213</v>
      </c>
      <c r="M32" s="2073" t="s">
        <v>2214</v>
      </c>
      <c r="N32" s="2073" t="s">
        <v>2215</v>
      </c>
      <c r="O32" s="2073" t="s">
        <v>2216</v>
      </c>
      <c r="P32" s="2073" t="s">
        <v>2217</v>
      </c>
      <c r="Q32" s="2074" t="s">
        <v>2218</v>
      </c>
      <c r="R32" s="2168" t="s">
        <v>2219</v>
      </c>
      <c r="S32" s="2065"/>
      <c r="T32" s="2065"/>
      <c r="U32" s="2065"/>
      <c r="V32" s="2148"/>
    </row>
    <row r="33" spans="1:23" s="2076" customFormat="1" ht="13.15" customHeight="1">
      <c r="A33" s="2133"/>
      <c r="B33" s="2134"/>
      <c r="C33" s="2139"/>
      <c r="D33" s="3461"/>
      <c r="E33" s="3462"/>
      <c r="F33" s="2135"/>
      <c r="G33" s="2065"/>
      <c r="H33" s="2156"/>
      <c r="I33" s="2148"/>
      <c r="J33" s="4524" t="s">
        <v>2222</v>
      </c>
      <c r="K33" s="4525"/>
      <c r="L33" s="3481"/>
      <c r="M33" s="3481"/>
      <c r="N33" s="3481"/>
      <c r="O33" s="3481"/>
      <c r="P33" s="3481"/>
      <c r="Q33" s="3482"/>
      <c r="R33" s="3483">
        <f>SUM(L33:Q33)</f>
        <v>0</v>
      </c>
      <c r="S33" s="2065"/>
      <c r="T33" s="2065"/>
      <c r="U33" s="2065"/>
      <c r="V33" s="2072"/>
    </row>
    <row r="34" spans="1:23" s="2076" customFormat="1" ht="13.15" customHeight="1">
      <c r="A34" s="2133">
        <v>5</v>
      </c>
      <c r="B34" s="2134" t="s">
        <v>2315</v>
      </c>
      <c r="C34" s="3463"/>
      <c r="D34" s="3464"/>
      <c r="E34" s="3465"/>
      <c r="F34" s="2135"/>
      <c r="G34" s="2065"/>
      <c r="H34" s="2156"/>
      <c r="I34" s="2148"/>
      <c r="J34" s="4524" t="s">
        <v>2224</v>
      </c>
      <c r="K34" s="4525"/>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15" customHeight="1" thickBot="1">
      <c r="A36" s="2133">
        <v>7</v>
      </c>
      <c r="B36" s="2171" t="s">
        <v>2317</v>
      </c>
      <c r="C36" s="3466"/>
      <c r="D36" s="3467"/>
      <c r="E36" s="3468"/>
      <c r="F36" s="2172">
        <f>C36+D36+E36</f>
        <v>0</v>
      </c>
      <c r="G36" s="2065"/>
      <c r="H36" s="2071"/>
      <c r="I36" s="2072"/>
      <c r="J36" s="4516">
        <v>1</v>
      </c>
      <c r="K36" s="4517" t="s">
        <v>2318</v>
      </c>
      <c r="L36" s="2094"/>
      <c r="M36" s="2095"/>
      <c r="N36" s="2095"/>
      <c r="O36" s="2095"/>
      <c r="P36" s="2095"/>
      <c r="Q36" s="2095"/>
      <c r="R36" s="2080" t="s">
        <v>2235</v>
      </c>
      <c r="S36" s="2065"/>
      <c r="T36" s="2065" t="s">
        <v>2236</v>
      </c>
      <c r="U36" s="2065"/>
      <c r="V36" s="2072"/>
    </row>
    <row r="37" spans="1:23" s="2076" customFormat="1" ht="13.15" customHeight="1">
      <c r="A37" s="2133"/>
      <c r="B37" s="2134"/>
      <c r="C37" s="2138"/>
      <c r="D37" s="2138"/>
      <c r="E37" s="2138"/>
      <c r="F37" s="2135"/>
      <c r="G37" s="2065"/>
      <c r="H37" s="2071"/>
      <c r="I37" s="2072"/>
      <c r="J37" s="4516"/>
      <c r="K37" s="4518"/>
      <c r="L37" s="3487"/>
      <c r="M37" s="3475"/>
      <c r="N37" s="2114"/>
      <c r="O37" s="2114"/>
      <c r="P37" s="2114"/>
      <c r="Q37" s="2114"/>
      <c r="R37" s="3476"/>
      <c r="S37" s="2065"/>
      <c r="T37" s="2065" t="s">
        <v>2239</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16"/>
      <c r="K38" s="4518"/>
      <c r="L38" s="3487"/>
      <c r="M38" s="3475"/>
      <c r="N38" s="2114"/>
      <c r="O38" s="2114"/>
      <c r="P38" s="2114"/>
      <c r="Q38" s="2114"/>
      <c r="R38" s="3476"/>
      <c r="S38" s="2065"/>
      <c r="T38" s="2065" t="s">
        <v>2245</v>
      </c>
      <c r="U38" s="2065"/>
      <c r="V38" s="2072"/>
    </row>
    <row r="39" spans="1:23" s="2076" customFormat="1" ht="13.15" customHeight="1">
      <c r="A39" s="2133">
        <v>9</v>
      </c>
      <c r="B39" s="2134" t="s">
        <v>2319</v>
      </c>
      <c r="C39" s="3449" t="e">
        <f>C38</f>
        <v>#DIV/0!</v>
      </c>
      <c r="D39" s="3449">
        <f>IF(D23=0,0,D38/(1+D34)^C36)</f>
        <v>0</v>
      </c>
      <c r="E39" s="3449">
        <f>IF(E23=0,0,E38/(1+E34)^(C36+D36))</f>
        <v>0</v>
      </c>
      <c r="F39" s="2135"/>
      <c r="G39" s="2072"/>
      <c r="H39" s="2071"/>
      <c r="I39" s="2072"/>
      <c r="J39" s="4516"/>
      <c r="K39" s="4518"/>
      <c r="L39" s="3487"/>
      <c r="M39" s="3475"/>
      <c r="N39" s="2114"/>
      <c r="O39" s="2114"/>
      <c r="P39" s="2114"/>
      <c r="Q39" s="2114"/>
      <c r="R39" s="3476"/>
      <c r="S39" s="2065"/>
      <c r="T39" s="2065"/>
      <c r="U39" s="2065"/>
      <c r="V39" s="2072"/>
    </row>
    <row r="40" spans="1:23" s="2076" customFormat="1" ht="13.15" customHeight="1">
      <c r="A40" s="2173">
        <v>10</v>
      </c>
      <c r="B40" s="2134" t="s">
        <v>2320</v>
      </c>
      <c r="C40" s="3469" t="e">
        <f>C39+D39+E39</f>
        <v>#DIV/0!</v>
      </c>
      <c r="D40" s="3470"/>
      <c r="E40" s="3470"/>
      <c r="F40" s="2174"/>
      <c r="G40" s="2065"/>
      <c r="H40" s="2071"/>
      <c r="I40" s="2072"/>
      <c r="J40" s="4516"/>
      <c r="K40" s="4519"/>
      <c r="L40" s="2116" t="s">
        <v>2262</v>
      </c>
      <c r="M40" s="2117"/>
      <c r="N40" s="2117"/>
      <c r="O40" s="2118"/>
      <c r="P40" s="2118"/>
      <c r="Q40" s="3488"/>
      <c r="R40" s="3682">
        <f>SUM(R37:R39)</f>
        <v>0</v>
      </c>
      <c r="S40" s="2065"/>
      <c r="T40" s="2065"/>
      <c r="U40" s="2065"/>
      <c r="V40" s="2072"/>
    </row>
    <row r="41" spans="1:23" s="2076" customFormat="1" ht="13.15" customHeight="1" thickBot="1">
      <c r="A41" s="2175">
        <v>11</v>
      </c>
      <c r="B41" s="2176" t="s">
        <v>2321</v>
      </c>
      <c r="C41" s="3471" t="e">
        <f>ROUND(C40*10000/B4,0)</f>
        <v>#DIV/0!</v>
      </c>
      <c r="D41" s="3472"/>
      <c r="E41" s="3472"/>
      <c r="F41" s="2177"/>
      <c r="G41" s="2071"/>
      <c r="H41" s="2071"/>
      <c r="I41" s="2072"/>
      <c r="J41" s="2143">
        <v>2</v>
      </c>
      <c r="K41" s="2144" t="s">
        <v>2299</v>
      </c>
      <c r="L41" s="2145"/>
      <c r="M41" s="2145"/>
      <c r="N41" s="2145"/>
      <c r="O41" s="2145"/>
      <c r="P41" s="2146"/>
      <c r="Q41" s="3475"/>
      <c r="R41" s="3681">
        <f>ROUND(R40*Q41,0)</f>
        <v>0</v>
      </c>
      <c r="S41" s="2065"/>
      <c r="T41" s="2065"/>
      <c r="U41" s="2109"/>
      <c r="V41" s="2072"/>
    </row>
    <row r="42" spans="1:23" s="2076" customFormat="1" ht="13.15" customHeight="1">
      <c r="G42" s="2071"/>
      <c r="H42" s="2071"/>
      <c r="I42" s="2072"/>
      <c r="J42" s="4520">
        <v>3</v>
      </c>
      <c r="K42" s="2150" t="s">
        <v>2301</v>
      </c>
      <c r="L42" s="2151"/>
      <c r="M42" s="2152"/>
      <c r="N42" s="2153" t="s">
        <v>2302</v>
      </c>
      <c r="O42" s="2153" t="s">
        <v>2303</v>
      </c>
      <c r="P42" s="2154" t="s">
        <v>2304</v>
      </c>
      <c r="Q42" s="2154" t="s">
        <v>2305</v>
      </c>
      <c r="R42" s="2080" t="s">
        <v>2235</v>
      </c>
      <c r="S42" s="2109"/>
      <c r="T42" s="2109"/>
      <c r="U42" s="2065"/>
      <c r="V42" s="2072"/>
    </row>
    <row r="43" spans="1:23" ht="13.15" customHeight="1">
      <c r="A43" s="2076"/>
      <c r="B43" s="2076"/>
      <c r="C43" s="2076"/>
      <c r="D43" s="2076"/>
      <c r="E43" s="2076"/>
      <c r="F43" s="2076"/>
      <c r="G43" s="2071"/>
      <c r="H43" s="2071"/>
      <c r="I43" s="2060"/>
      <c r="J43" s="4521"/>
      <c r="K43" s="2157"/>
      <c r="L43" s="2158"/>
      <c r="M43" s="2159"/>
      <c r="N43" s="3475"/>
      <c r="O43" s="3475"/>
      <c r="P43" s="3475"/>
      <c r="Q43" s="3475"/>
      <c r="R43" s="3681">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2308</v>
      </c>
      <c r="L44" s="2180" t="s">
        <v>2309</v>
      </c>
      <c r="M44" s="3480"/>
      <c r="N44" s="2180" t="s">
        <v>2310</v>
      </c>
      <c r="O44" s="2163"/>
      <c r="P44" s="2180" t="s">
        <v>2311</v>
      </c>
      <c r="Q44" s="2165">
        <v>1.4999999999999999E-2</v>
      </c>
      <c r="R44" s="3479"/>
    </row>
    <row r="45" spans="1:23" ht="13.15" customHeight="1" thickBot="1">
      <c r="A45" s="2076"/>
      <c r="B45" s="2076"/>
      <c r="C45" s="2076"/>
      <c r="D45" s="2076"/>
      <c r="E45" s="2076"/>
      <c r="F45" s="2076"/>
      <c r="G45" s="2071"/>
      <c r="H45" s="2071"/>
    </row>
    <row r="46" spans="1:23" ht="14.5">
      <c r="A46" s="2076"/>
      <c r="B46" s="2076"/>
      <c r="C46" s="3586" t="s">
        <v>3719</v>
      </c>
      <c r="D46" s="3587" t="s">
        <v>3790</v>
      </c>
      <c r="E46" s="3960">
        <f>ROUND(D6*G46,0)</f>
        <v>0</v>
      </c>
      <c r="F46" s="3598" t="s">
        <v>3779</v>
      </c>
      <c r="G46" s="3961">
        <v>0.05</v>
      </c>
      <c r="H46" s="2076"/>
      <c r="I46" s="2179"/>
    </row>
    <row r="47" spans="1:23" ht="13.15" customHeight="1">
      <c r="A47" s="2076"/>
      <c r="B47" s="2076"/>
      <c r="C47" s="3588" t="s">
        <v>3720</v>
      </c>
      <c r="D47" s="3589" t="s">
        <v>3721</v>
      </c>
      <c r="E47" s="4068" t="s">
        <v>3955</v>
      </c>
      <c r="F47" s="3599" t="s">
        <v>3722</v>
      </c>
      <c r="G47" s="3600" t="s">
        <v>3723</v>
      </c>
      <c r="H47" s="2066"/>
      <c r="I47" s="2179"/>
    </row>
    <row r="48" spans="1:23" ht="13.15" customHeight="1">
      <c r="C48" s="3590">
        <v>1</v>
      </c>
      <c r="D48" s="3589" t="s">
        <v>3724</v>
      </c>
      <c r="E48" s="3610">
        <f>E49-E54</f>
        <v>0</v>
      </c>
      <c r="F48" s="3589"/>
      <c r="G48" s="3600"/>
      <c r="H48" s="2066"/>
      <c r="I48" s="2179"/>
    </row>
    <row r="49" spans="1:9" ht="13.15" customHeight="1">
      <c r="C49" s="3590">
        <v>2</v>
      </c>
      <c r="D49" s="3589" t="s">
        <v>3725</v>
      </c>
      <c r="E49" s="3610">
        <f>SUM(E50:E53)</f>
        <v>0</v>
      </c>
      <c r="F49" s="3589"/>
      <c r="G49" s="3955"/>
      <c r="H49" s="2066"/>
      <c r="I49" s="2179"/>
    </row>
    <row r="50" spans="1:9" ht="13.15" customHeight="1">
      <c r="C50" s="3591" t="s">
        <v>3741</v>
      </c>
      <c r="D50" s="3592" t="s">
        <v>3726</v>
      </c>
      <c r="E50" s="3611">
        <f>R14*G50/(1+G50)</f>
        <v>0</v>
      </c>
      <c r="F50" s="3601" t="s">
        <v>3742</v>
      </c>
      <c r="G50" s="3956">
        <v>0.06</v>
      </c>
      <c r="H50" s="2066"/>
      <c r="I50" s="2179"/>
    </row>
    <row r="51" spans="1:9" ht="13.15" customHeight="1">
      <c r="C51" s="3591" t="s">
        <v>3743</v>
      </c>
      <c r="D51" s="3592" t="s">
        <v>3727</v>
      </c>
      <c r="E51" s="3611">
        <f>R19*G51/(1+G51)</f>
        <v>0</v>
      </c>
      <c r="F51" s="3601" t="s">
        <v>3744</v>
      </c>
      <c r="G51" s="3956">
        <v>0.06</v>
      </c>
      <c r="H51" s="2066"/>
      <c r="I51" s="2179"/>
    </row>
    <row r="52" spans="1:9" ht="13.15" customHeight="1">
      <c r="C52" s="3591" t="s">
        <v>3745</v>
      </c>
      <c r="D52" s="3592" t="s">
        <v>3728</v>
      </c>
      <c r="E52" s="3611">
        <f>R24*G52/(1+R24)</f>
        <v>0</v>
      </c>
      <c r="F52" s="3601" t="s">
        <v>3729</v>
      </c>
      <c r="G52" s="3956">
        <v>0.09</v>
      </c>
      <c r="H52" s="2066"/>
      <c r="I52" s="2179"/>
    </row>
    <row r="53" spans="1:9" ht="13.15" customHeight="1">
      <c r="C53" s="3591" t="s">
        <v>3746</v>
      </c>
      <c r="D53" s="3592" t="s">
        <v>3730</v>
      </c>
      <c r="E53" s="3611">
        <f>R27*G53/(1+G53)</f>
        <v>0</v>
      </c>
      <c r="F53" s="3601" t="s">
        <v>3729</v>
      </c>
      <c r="G53" s="3956">
        <v>0.09</v>
      </c>
      <c r="H53" s="2066"/>
      <c r="I53" s="2179"/>
    </row>
    <row r="54" spans="1:9" ht="13.15" customHeight="1">
      <c r="A54" s="2066" t="s">
        <v>3774</v>
      </c>
      <c r="B54" s="2179"/>
      <c r="C54" s="3590">
        <v>3</v>
      </c>
      <c r="D54" s="3589" t="s">
        <v>3731</v>
      </c>
      <c r="E54" s="3610">
        <f>E55+E56+E60</f>
        <v>0</v>
      </c>
      <c r="F54" s="3589"/>
      <c r="G54" s="3955"/>
      <c r="H54" s="2066"/>
      <c r="I54" s="2179"/>
    </row>
    <row r="55" spans="1:9" ht="13.15" customHeight="1">
      <c r="A55" s="3582">
        <v>0.05</v>
      </c>
      <c r="B55" s="3583" t="s">
        <v>3778</v>
      </c>
      <c r="C55" s="3591" t="s">
        <v>3741</v>
      </c>
      <c r="D55" s="3592" t="s">
        <v>3732</v>
      </c>
      <c r="E55" s="3611">
        <f>D9*G55/(1+G55)</f>
        <v>0</v>
      </c>
      <c r="F55" s="3603" t="s">
        <v>3780</v>
      </c>
      <c r="G55" s="3956">
        <v>0.13</v>
      </c>
      <c r="H55" s="2066"/>
      <c r="I55" s="2179"/>
    </row>
    <row r="56" spans="1:9" ht="13.15" customHeight="1">
      <c r="A56" s="3582">
        <f>SUM(A57:A59)</f>
        <v>0.39</v>
      </c>
      <c r="B56" s="3583"/>
      <c r="C56" s="3591" t="s">
        <v>3743</v>
      </c>
      <c r="D56" s="3592" t="s">
        <v>3733</v>
      </c>
      <c r="E56" s="3611">
        <f>SUM(E57:E59)</f>
        <v>0</v>
      </c>
      <c r="F56" s="3601"/>
      <c r="G56" s="3604"/>
      <c r="H56" s="2066" t="s">
        <v>3787</v>
      </c>
      <c r="I56" s="2066" t="s">
        <v>3788</v>
      </c>
    </row>
    <row r="57" spans="1:9" ht="13.15" customHeight="1">
      <c r="A57" s="3582">
        <v>0.25</v>
      </c>
      <c r="B57" s="3583" t="s">
        <v>3775</v>
      </c>
      <c r="C57" s="3593" t="s">
        <v>3734</v>
      </c>
      <c r="D57" s="3594" t="s">
        <v>3735</v>
      </c>
      <c r="E57" s="3612">
        <v>0</v>
      </c>
      <c r="F57" s="3605"/>
      <c r="G57" s="3606" t="s">
        <v>3736</v>
      </c>
      <c r="H57" s="3578">
        <v>0.65</v>
      </c>
      <c r="I57" s="3584">
        <f>A57/SUM(A57:A59)</f>
        <v>0.64102564102564097</v>
      </c>
    </row>
    <row r="58" spans="1:9" ht="13.15" customHeight="1">
      <c r="A58" s="3582">
        <v>0.06</v>
      </c>
      <c r="B58" s="3583" t="s">
        <v>3776</v>
      </c>
      <c r="C58" s="3593" t="s">
        <v>3737</v>
      </c>
      <c r="D58" s="3595" t="s">
        <v>3782</v>
      </c>
      <c r="E58" s="3612">
        <f>D10*H58*G58/(1+G58)</f>
        <v>0</v>
      </c>
      <c r="F58" s="3605" t="s">
        <v>3747</v>
      </c>
      <c r="G58" s="3957">
        <v>0.09</v>
      </c>
      <c r="H58" s="3578">
        <v>0.15</v>
      </c>
      <c r="I58" s="3584">
        <f>A58/SUM(A57:A59)</f>
        <v>0.15384615384615383</v>
      </c>
    </row>
    <row r="59" spans="1:9" ht="13.15" customHeight="1">
      <c r="A59" s="3582">
        <v>0.08</v>
      </c>
      <c r="B59" s="3583" t="s">
        <v>3777</v>
      </c>
      <c r="C59" s="3593" t="s">
        <v>3738</v>
      </c>
      <c r="D59" s="3594" t="s">
        <v>3748</v>
      </c>
      <c r="E59" s="3612">
        <f>D10*H59*G59/(1+G59)</f>
        <v>0</v>
      </c>
      <c r="F59" s="3605" t="s">
        <v>3749</v>
      </c>
      <c r="G59" s="3957">
        <v>0.06</v>
      </c>
      <c r="H59" s="3578">
        <v>0.2</v>
      </c>
      <c r="I59" s="3584">
        <f>1-I57-I58</f>
        <v>0.2051282051282052</v>
      </c>
    </row>
    <row r="60" spans="1:9" ht="13.15" customHeight="1">
      <c r="A60" s="3582">
        <f>SUM(A61:A62)</f>
        <v>0.1</v>
      </c>
      <c r="B60" s="3583"/>
      <c r="C60" s="3591" t="s">
        <v>3745</v>
      </c>
      <c r="D60" s="3592" t="s">
        <v>3750</v>
      </c>
      <c r="E60" s="3611">
        <f>SUM(E61:E62)</f>
        <v>0</v>
      </c>
      <c r="F60" s="3601"/>
      <c r="G60" s="3958"/>
      <c r="I60" s="2179"/>
    </row>
    <row r="61" spans="1:9" ht="13.15" customHeight="1">
      <c r="A61" s="3582">
        <v>0.05</v>
      </c>
      <c r="B61" s="3583" t="s">
        <v>3778</v>
      </c>
      <c r="C61" s="3593" t="s">
        <v>3751</v>
      </c>
      <c r="D61" s="3594" t="s">
        <v>3752</v>
      </c>
      <c r="E61" s="3612">
        <f>D17*H61*G61/(1+G61)</f>
        <v>0</v>
      </c>
      <c r="F61" s="3605" t="s">
        <v>3749</v>
      </c>
      <c r="G61" s="3957">
        <v>0.06</v>
      </c>
      <c r="H61" s="3578">
        <v>0.5</v>
      </c>
      <c r="I61" s="2179"/>
    </row>
    <row r="62" spans="1:9" ht="13.15" customHeight="1" thickBot="1">
      <c r="A62" s="3582">
        <v>0.05</v>
      </c>
      <c r="B62" s="3583" t="s">
        <v>3779</v>
      </c>
      <c r="C62" s="3596" t="s">
        <v>3737</v>
      </c>
      <c r="D62" s="3597" t="s">
        <v>3753</v>
      </c>
      <c r="E62" s="3613">
        <f>D17*H62*G62/(1+G62)</f>
        <v>0</v>
      </c>
      <c r="F62" s="3608" t="s">
        <v>3754</v>
      </c>
      <c r="G62" s="3959">
        <v>0.09</v>
      </c>
      <c r="H62" s="3578">
        <v>0.5</v>
      </c>
      <c r="I62" s="2179"/>
    </row>
    <row r="63" spans="1:9" ht="13.15" customHeight="1">
      <c r="A63" s="3582">
        <f>A55+A56+A60</f>
        <v>0.54</v>
      </c>
      <c r="B63" s="3583"/>
      <c r="C63" s="2179"/>
      <c r="D63" s="3583"/>
      <c r="E63" s="3583"/>
      <c r="F63" s="2179"/>
      <c r="G63" s="2179"/>
      <c r="H63" s="2066"/>
      <c r="I63" s="2066"/>
    </row>
    <row r="64" spans="1:9" ht="13.15" customHeight="1" thickBot="1">
      <c r="C64" s="2179"/>
      <c r="D64" s="2179"/>
      <c r="E64" s="2179"/>
      <c r="F64" s="2179"/>
      <c r="G64" s="2179"/>
      <c r="H64" s="2066"/>
      <c r="I64" s="2179"/>
    </row>
    <row r="65" spans="1:9" ht="14.5">
      <c r="C65" s="3586" t="s">
        <v>3755</v>
      </c>
      <c r="D65" s="3587" t="s">
        <v>3790</v>
      </c>
      <c r="E65" s="3960">
        <f>ROUND(D6*G65,0)</f>
        <v>0</v>
      </c>
      <c r="F65" s="3598" t="s">
        <v>3791</v>
      </c>
      <c r="G65" s="3961">
        <v>0.03</v>
      </c>
      <c r="H65" s="2066"/>
      <c r="I65" s="2179"/>
    </row>
    <row r="66" spans="1:9" ht="13.5">
      <c r="C66" s="3588" t="s">
        <v>3756</v>
      </c>
      <c r="D66" s="3589" t="s">
        <v>3757</v>
      </c>
      <c r="E66" s="4068" t="s">
        <v>3955</v>
      </c>
      <c r="F66" s="3599" t="s">
        <v>3758</v>
      </c>
      <c r="G66" s="3600" t="s">
        <v>3759</v>
      </c>
      <c r="H66" s="2066"/>
      <c r="I66" s="2179"/>
    </row>
    <row r="67" spans="1:9" ht="12">
      <c r="C67" s="3590">
        <v>1</v>
      </c>
      <c r="D67" s="3589" t="s">
        <v>3760</v>
      </c>
      <c r="E67" s="3614">
        <f>E68-E73</f>
        <v>0</v>
      </c>
      <c r="F67" s="3589"/>
      <c r="G67" s="3600"/>
      <c r="H67" s="2066"/>
      <c r="I67" s="2179"/>
    </row>
    <row r="68" spans="1:9" ht="13.15" customHeight="1">
      <c r="C68" s="3615">
        <v>2</v>
      </c>
      <c r="D68" s="3589" t="s">
        <v>3761</v>
      </c>
      <c r="E68" s="3614">
        <f>SUM(E69:E70)</f>
        <v>0</v>
      </c>
      <c r="F68" s="3589"/>
      <c r="G68" s="3600"/>
      <c r="H68" s="2066"/>
      <c r="I68" s="2179"/>
    </row>
    <row r="69" spans="1:9" ht="13.15" customHeight="1">
      <c r="C69" s="3591" t="s">
        <v>3762</v>
      </c>
      <c r="D69" s="3592" t="s">
        <v>3763</v>
      </c>
      <c r="E69" s="3592"/>
      <c r="F69" s="3601" t="s">
        <v>3764</v>
      </c>
      <c r="G69" s="3602">
        <v>0.09</v>
      </c>
      <c r="H69" s="2066"/>
      <c r="I69" s="2179"/>
    </row>
    <row r="70" spans="1:9" ht="13.15" customHeight="1">
      <c r="C70" s="3591" t="s">
        <v>3743</v>
      </c>
      <c r="D70" s="3592" t="s">
        <v>3765</v>
      </c>
      <c r="E70" s="3592"/>
      <c r="F70" s="3601" t="s">
        <v>3766</v>
      </c>
      <c r="G70" s="3602">
        <v>0.06</v>
      </c>
      <c r="H70" s="2066"/>
      <c r="I70" s="2179"/>
    </row>
    <row r="71" spans="1:9" ht="13.15" customHeight="1">
      <c r="A71" s="2066" t="s">
        <v>3781</v>
      </c>
      <c r="C71" s="3615">
        <v>3</v>
      </c>
      <c r="D71" s="3589" t="s">
        <v>3767</v>
      </c>
      <c r="E71" s="3614">
        <f>E72+E77</f>
        <v>0</v>
      </c>
      <c r="F71" s="3589"/>
      <c r="G71" s="3600"/>
      <c r="H71" s="2066"/>
      <c r="I71" s="2179"/>
    </row>
    <row r="72" spans="1:9" ht="13.15" customHeight="1">
      <c r="A72" s="3582">
        <v>0.05</v>
      </c>
      <c r="B72" s="3585"/>
      <c r="C72" s="3591" t="s">
        <v>3762</v>
      </c>
      <c r="D72" s="3592" t="s">
        <v>3768</v>
      </c>
      <c r="E72" s="3592">
        <f>D9*G72/(1+G72)</f>
        <v>0</v>
      </c>
      <c r="F72" s="3603" t="s">
        <v>3780</v>
      </c>
      <c r="G72" s="3602">
        <v>0.13</v>
      </c>
      <c r="H72" s="2066"/>
      <c r="I72" s="2179"/>
    </row>
    <row r="73" spans="1:9" ht="13.15" customHeight="1">
      <c r="A73" s="3582">
        <f>SUM(A74:A76)</f>
        <v>0.2</v>
      </c>
      <c r="B73" s="3585"/>
      <c r="C73" s="3591" t="s">
        <v>3743</v>
      </c>
      <c r="D73" s="3592" t="s">
        <v>3769</v>
      </c>
      <c r="E73" s="3592">
        <f>SUM(E74:E76)</f>
        <v>0</v>
      </c>
      <c r="F73" s="3601"/>
      <c r="G73" s="3604"/>
      <c r="H73" s="2066" t="s">
        <v>3787</v>
      </c>
      <c r="I73" s="2066" t="s">
        <v>3788</v>
      </c>
    </row>
    <row r="74" spans="1:9" ht="13.15" customHeight="1">
      <c r="A74" s="3582">
        <v>0.05</v>
      </c>
      <c r="B74" s="3585" t="s">
        <v>3785</v>
      </c>
      <c r="C74" s="3616" t="s">
        <v>3770</v>
      </c>
      <c r="D74" s="3594" t="s">
        <v>3771</v>
      </c>
      <c r="E74" s="3594">
        <v>0</v>
      </c>
      <c r="F74" s="3605"/>
      <c r="G74" s="3606" t="s">
        <v>3772</v>
      </c>
      <c r="H74" s="3578">
        <v>0.25</v>
      </c>
      <c r="I74" s="3584">
        <f>A74/SUM(A74:A76)</f>
        <v>0.25</v>
      </c>
    </row>
    <row r="75" spans="1:9" ht="13.15" customHeight="1">
      <c r="A75" s="3582">
        <v>0.1</v>
      </c>
      <c r="B75" s="3585" t="s">
        <v>3783</v>
      </c>
      <c r="C75" s="3616" t="s">
        <v>3739</v>
      </c>
      <c r="D75" s="3595" t="s">
        <v>3782</v>
      </c>
      <c r="E75" s="3594">
        <f>D10*H75*G75/(1+G75)</f>
        <v>0</v>
      </c>
      <c r="F75" s="3605" t="s">
        <v>3773</v>
      </c>
      <c r="G75" s="3607">
        <v>0.09</v>
      </c>
      <c r="H75" s="3578">
        <v>0.5</v>
      </c>
      <c r="I75" s="3584">
        <f>A75/SUM(A74:A76)</f>
        <v>0.5</v>
      </c>
    </row>
    <row r="76" spans="1:9" ht="13.15" customHeight="1">
      <c r="A76" s="3582">
        <v>0.05</v>
      </c>
      <c r="B76" s="3585" t="s">
        <v>3786</v>
      </c>
      <c r="C76" s="3616" t="s">
        <v>3740</v>
      </c>
      <c r="D76" s="3594" t="s">
        <v>3748</v>
      </c>
      <c r="E76" s="3594">
        <f>D10*H76*G76/(1+G76)</f>
        <v>0</v>
      </c>
      <c r="F76" s="3605" t="s">
        <v>3749</v>
      </c>
      <c r="G76" s="3607">
        <v>0.06</v>
      </c>
      <c r="H76" s="3578">
        <v>0.25</v>
      </c>
      <c r="I76" s="3584">
        <f>1-I74-I75</f>
        <v>0.25</v>
      </c>
    </row>
    <row r="77" spans="1:9" ht="13.15" customHeight="1">
      <c r="A77" s="3582">
        <f>SUM(A78:A79)</f>
        <v>0.1</v>
      </c>
      <c r="B77" s="3585"/>
      <c r="C77" s="3591" t="s">
        <v>3745</v>
      </c>
      <c r="D77" s="3592" t="s">
        <v>3750</v>
      </c>
      <c r="E77" s="3592">
        <f>SUM(E78:E79)</f>
        <v>0</v>
      </c>
      <c r="F77" s="3601"/>
      <c r="G77" s="3604"/>
      <c r="I77" s="2179"/>
    </row>
    <row r="78" spans="1:9" ht="13.15" customHeight="1">
      <c r="A78" s="3582">
        <v>0.05</v>
      </c>
      <c r="B78" s="3585" t="s">
        <v>3776</v>
      </c>
      <c r="C78" s="3616" t="s">
        <v>3770</v>
      </c>
      <c r="D78" s="3594" t="s">
        <v>3752</v>
      </c>
      <c r="E78" s="3594">
        <f>D17*H78*G78/(1+G78)</f>
        <v>0</v>
      </c>
      <c r="F78" s="3605" t="s">
        <v>3749</v>
      </c>
      <c r="G78" s="3607">
        <v>0.06</v>
      </c>
      <c r="H78" s="3578">
        <v>0.5</v>
      </c>
      <c r="I78" s="2179"/>
    </row>
    <row r="79" spans="1:9" ht="13.15" customHeight="1" thickBot="1">
      <c r="A79" s="3582">
        <v>0.05</v>
      </c>
      <c r="B79" s="3585" t="s">
        <v>3784</v>
      </c>
      <c r="C79" s="3617" t="s">
        <v>3739</v>
      </c>
      <c r="D79" s="3597" t="s">
        <v>3753</v>
      </c>
      <c r="E79" s="3597">
        <f>D17*H79*G79/(1+G79)</f>
        <v>0</v>
      </c>
      <c r="F79" s="3608" t="s">
        <v>3754</v>
      </c>
      <c r="G79" s="3609">
        <v>0.09</v>
      </c>
      <c r="H79" s="3578">
        <v>0.5</v>
      </c>
      <c r="I79" s="2179"/>
    </row>
    <row r="80" spans="1:9" ht="13.15" customHeight="1">
      <c r="A80" s="3582">
        <f>A72+A73+A77</f>
        <v>0.35</v>
      </c>
      <c r="B80" s="3585"/>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5">
      <c r="A2" s="1346" t="s">
        <v>1431</v>
      </c>
      <c r="B2" s="552">
        <f ca="1">SUMIF(B6:B13,"&lt;&gt;#ref!",B6:B13)</f>
        <v>13192</v>
      </c>
      <c r="C2" s="1347" t="s">
        <v>1558</v>
      </c>
      <c r="D2" s="1348" t="s">
        <v>1559</v>
      </c>
      <c r="E2" s="2878">
        <f>SUM(E6:E13)</f>
        <v>12000.23</v>
      </c>
      <c r="F2" s="1967"/>
      <c r="G2" s="1032"/>
      <c r="H2" s="1032"/>
      <c r="I2" s="1032"/>
      <c r="J2" s="1032"/>
      <c r="K2" s="1032"/>
      <c r="L2" s="1032"/>
      <c r="M2" s="1032"/>
      <c r="N2" s="1032"/>
      <c r="O2" s="1032"/>
      <c r="P2" s="1032"/>
      <c r="Q2" s="1032"/>
      <c r="R2" s="1032"/>
      <c r="S2" s="1032"/>
    </row>
    <row r="3" spans="1:22" ht="15.5">
      <c r="A3" s="1346" t="s">
        <v>672</v>
      </c>
      <c r="B3" s="2877">
        <f ca="1">ROUND(B2*10000/E2,0)</f>
        <v>10993</v>
      </c>
      <c r="C3" s="1347" t="s">
        <v>1566</v>
      </c>
      <c r="D3" s="1967"/>
      <c r="E3" s="1970"/>
      <c r="F3" s="1967"/>
      <c r="G3" s="1032"/>
      <c r="H3" s="1032"/>
      <c r="I3" s="1032"/>
      <c r="J3" s="1032"/>
      <c r="K3" s="1032"/>
      <c r="L3" s="1032"/>
      <c r="M3" s="1032"/>
      <c r="N3" s="1032"/>
      <c r="O3" s="1032"/>
      <c r="P3" s="1032"/>
      <c r="Q3" s="1032"/>
      <c r="R3" s="1032"/>
      <c r="S3" s="1032"/>
    </row>
    <row r="4" spans="1:22" ht="15.5">
      <c r="A4" s="1971"/>
      <c r="B4" s="1967"/>
      <c r="C4" s="1967"/>
      <c r="D4" s="1967"/>
      <c r="E4" s="1970"/>
      <c r="F4" s="1967"/>
      <c r="G4" s="1032"/>
      <c r="H4" s="1032"/>
      <c r="I4" s="1032"/>
      <c r="J4" s="1032"/>
      <c r="K4" s="1032"/>
      <c r="L4" s="1032"/>
      <c r="M4" s="1032"/>
      <c r="N4" s="1032"/>
      <c r="O4" s="1032"/>
      <c r="P4" s="1032"/>
      <c r="Q4" s="1032"/>
      <c r="R4" s="1032"/>
      <c r="S4" s="1032"/>
    </row>
    <row r="5" spans="1:22">
      <c r="A5" s="1882" t="s">
        <v>1560</v>
      </c>
      <c r="B5" s="4536" t="s">
        <v>1561</v>
      </c>
      <c r="C5" s="4537"/>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29">
        <f ca="1">IF(F6="是",'数据-取费表'!AO6,0)</f>
        <v>13192</v>
      </c>
      <c r="C6" s="1347" t="s">
        <v>1558</v>
      </c>
      <c r="D6" s="1967"/>
      <c r="E6" s="2879">
        <f>IF(OR(A6=0,F6="否"),0,'数据-取费表'!K6+'数据-取费表'!S6)</f>
        <v>12000.23</v>
      </c>
      <c r="F6" s="1350" t="s">
        <v>1564</v>
      </c>
      <c r="G6" s="1032"/>
      <c r="H6" s="1032"/>
      <c r="I6" s="1032"/>
      <c r="J6" s="1032"/>
      <c r="K6" s="1032"/>
      <c r="L6" s="1032"/>
      <c r="M6" s="1032"/>
      <c r="N6" s="1032"/>
      <c r="O6" s="1032"/>
      <c r="P6" s="1032"/>
      <c r="Q6" s="1032"/>
      <c r="R6" s="1032"/>
      <c r="S6" s="1032"/>
    </row>
    <row r="7" spans="1:22">
      <c r="A7" s="1883">
        <f>'数据-取费表'!AN7</f>
        <v>0</v>
      </c>
      <c r="B7" s="3629"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9"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9"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9"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9"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9"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29"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1" t="s">
        <v>1991</v>
      </c>
      <c r="D1" s="4542"/>
      <c r="E1" s="4542"/>
      <c r="F1" s="4542"/>
      <c r="G1" s="4542"/>
      <c r="H1" s="4542"/>
      <c r="I1" s="4542"/>
      <c r="J1" s="4542"/>
      <c r="K1" s="4542"/>
      <c r="L1" s="4542"/>
      <c r="M1" s="4542"/>
      <c r="N1" s="4542"/>
      <c r="O1" s="4542"/>
      <c r="P1" s="4542"/>
      <c r="Q1" s="4542"/>
      <c r="R1" s="4542"/>
      <c r="S1" s="4543"/>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9"/>
      <c r="D18" s="3710"/>
      <c r="E18" s="3710"/>
      <c r="F18" s="3710"/>
      <c r="G18" s="3710"/>
      <c r="H18" s="3710"/>
      <c r="I18" s="3710"/>
      <c r="J18" s="3710"/>
      <c r="K18" s="3710"/>
      <c r="L18" s="3710"/>
      <c r="M18" s="3711"/>
      <c r="N18" s="3711"/>
      <c r="O18" s="3710"/>
      <c r="P18" s="3710"/>
      <c r="Q18" s="3710"/>
      <c r="R18" s="3710"/>
      <c r="S18" s="3712"/>
      <c r="T18" s="3712"/>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538" t="s">
        <v>25</v>
      </c>
      <c r="D22" s="4539"/>
      <c r="E22" s="4539"/>
      <c r="F22" s="4539"/>
      <c r="G22" s="4539"/>
      <c r="H22" s="4539"/>
      <c r="I22" s="4539"/>
      <c r="J22" s="4539"/>
      <c r="K22" s="4539"/>
      <c r="L22" s="4539"/>
      <c r="M22" s="4539"/>
      <c r="N22" s="4539"/>
      <c r="O22" s="4539"/>
      <c r="P22" s="4539"/>
      <c r="Q22" s="4540"/>
      <c r="R22" s="2665" t="e">
        <f>ROUND(S22*10000/B22,0)</f>
        <v>#DIV/0!</v>
      </c>
      <c r="S22" s="2665">
        <f>SUM(S24:S10000)</f>
        <v>0</v>
      </c>
    </row>
    <row r="23" spans="1:45" s="7" customFormat="1" ht="26">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ht="13">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ht="13">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ht="13">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ht="13">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ht="13">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ht="13">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ht="13">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ht="13">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ht="13">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ht="13">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ht="13">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ht="13">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ht="13">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ht="13">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ht="13">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ht="13">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ht="13">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ht="13">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ht="13">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ht="13">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ht="13">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ht="13">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ht="13">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ht="13">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ht="13">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ht="13">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ht="13">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ht="13">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ht="13">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ht="13">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ht="13">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ht="13">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ht="13">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ht="13">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ht="13">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ht="13">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ht="13">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ht="13">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ht="13">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ht="13">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ht="13">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ht="13">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ht="13">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ht="13">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ht="13">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ht="13">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ht="13">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ht="13">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ht="13">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ht="13">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ht="13">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ht="13">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ht="13">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ht="13">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ht="13">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ht="13">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ht="13">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ht="13">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ht="13">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ht="13">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ht="13">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ht="13">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ht="13">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ht="13">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ht="13">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ht="13">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ht="13">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ht="13">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ht="13">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ht="13">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ht="13">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ht="13">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ht="13">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ht="13">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ht="13">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ht="13">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ht="13">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ht="13">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ht="13">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ht="13">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ht="13">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ht="13">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ht="13">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ht="13">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ht="13">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ht="13">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ht="13">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ht="13">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ht="13">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ht="13">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ht="13">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ht="13">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ht="13">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ht="13">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ht="13">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ht="13">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ht="13">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ht="13">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ht="13">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ht="13">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ht="13">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ht="13">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ht="13">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ht="13">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ht="13">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ht="13">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ht="13">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ht="13">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ht="13">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ht="13">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ht="13">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ht="13">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ht="13">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ht="13">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ht="13">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ht="13">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ht="13">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ht="13">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ht="13">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ht="13">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ht="13">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ht="13">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ht="13">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ht="13">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ht="13">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ht="13">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ht="13">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ht="13">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ht="13">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ht="13">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ht="13">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ht="13">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ht="13">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ht="13">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ht="13">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ht="13">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ht="13">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ht="13">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ht="13">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ht="13">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ht="13">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ht="13">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ht="13">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ht="13">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ht="13">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ht="13">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ht="13">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ht="13">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ht="13">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ht="13">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ht="13">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ht="13">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ht="13">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ht="13">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ht="13">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ht="13">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ht="13">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ht="13">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ht="13">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ht="13">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ht="13">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ht="13">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ht="13">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ht="13">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ht="13">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ht="13">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ht="13">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ht="13">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ht="13">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ht="13">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ht="13">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ht="13">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ht="13">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ht="13">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ht="13">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ht="13">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ht="13">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ht="13">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ht="13">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ht="13">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ht="13">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ht="13">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ht="13">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ht="13">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ht="13">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ht="13">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ht="13">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ht="13">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ht="13">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ht="13">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ht="13">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ht="13">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ht="13">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ht="13">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ht="13">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ht="13">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ht="13">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ht="13">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ht="13">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ht="13">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ht="13">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ht="13">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ht="13">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ht="13">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ht="13">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ht="13">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ht="13">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ht="13">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ht="13">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ht="13">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ht="13">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ht="13">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ht="13">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ht="13">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ht="13">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ht="13">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ht="13">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ht="13">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ht="13">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ht="13">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ht="13">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ht="13">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ht="13">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ht="13">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ht="13">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ht="13">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ht="13">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ht="13">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ht="13">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ht="13">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ht="13">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ht="13">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ht="13">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ht="13">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ht="13">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ht="13">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ht="13">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ht="13">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ht="13">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ht="13">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ht="13">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ht="13">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ht="13">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ht="13">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ht="13">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ht="13">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ht="13">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ht="13">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ht="13">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ht="13">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ht="13">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ht="13">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ht="13">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ht="13">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ht="13">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ht="13">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ht="13">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ht="13">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ht="13">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ht="13">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ht="13">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ht="13">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ht="13">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ht="13">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ht="13">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ht="13">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ht="13">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ht="13">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ht="13">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ht="13">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ht="13">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ht="13">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ht="13">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ht="13">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ht="13">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ht="13">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ht="13">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ht="13">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ht="13">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ht="13">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ht="13">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ht="13">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ht="13">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ht="13">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ht="13">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ht="13">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ht="13">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ht="13">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ht="13">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ht="13">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ht="13">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ht="13">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ht="13">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ht="13">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ht="13">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ht="13">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ht="13">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ht="13">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ht="13">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ht="13">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ht="13">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ht="13">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ht="13">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ht="13">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ht="13">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ht="13">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ht="13">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ht="13">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ht="13">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ht="13">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ht="13">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ht="13">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ht="13">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ht="13">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ht="13">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ht="13">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ht="13">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ht="13">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ht="13">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ht="13">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ht="13">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ht="13">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ht="13">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ht="13">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ht="13">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ht="13">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ht="13">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ht="13">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ht="13">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ht="13">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ht="13">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ht="13">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ht="13">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ht="13">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ht="13">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ht="13">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ht="13">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ht="13">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ht="13">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ht="13">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ht="13">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ht="13">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ht="13">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ht="13">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ht="13">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ht="13">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ht="13">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ht="13">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ht="13">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ht="13">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ht="13">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ht="13">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ht="13">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ht="13">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ht="13">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ht="13">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ht="13">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ht="13">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ht="13">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ht="13">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ht="13">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ht="13">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ht="13">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ht="13">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ht="13">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ht="13">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ht="13">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ht="13">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ht="13">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ht="13">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ht="13">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ht="13">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ht="13">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ht="13">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ht="13">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ht="13">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ht="13">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ht="13">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ht="13">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ht="13">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ht="13">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ht="13">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ht="13">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ht="13">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ht="13">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ht="13">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ht="13">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ht="13">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ht="13">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ht="13">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ht="13">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ht="13">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ht="13">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ht="13">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ht="13">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ht="13">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ht="13">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ht="13">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ht="13">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ht="13">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ht="13">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ht="13">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ht="13">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ht="13">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ht="13">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ht="13">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ht="13">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ht="13">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ht="13">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ht="13">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ht="13">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ht="13">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ht="13">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ht="13">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ht="13">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ht="13">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ht="13">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ht="13">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ht="13">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ht="13">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ht="13">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ht="13">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ht="13">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ht="13">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ht="13">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ht="13">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ht="13">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ht="13">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ht="13">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ht="13">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ht="13">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ht="13">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ht="13">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ht="13">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ht="13">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ht="13">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ht="13">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ht="13">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ht="13">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ht="13">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ht="13">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ht="13">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ht="13">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ht="13">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ht="13">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ht="13">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ht="13">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ht="13">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ht="13">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ht="13">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ht="13">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ht="13">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ht="13">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ht="13">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ht="13">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ht="13">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ht="13">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ht="13">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ht="13">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ht="13">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ht="13">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ht="13">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ht="13">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ht="13">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ht="13">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ht="13">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ht="13">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ht="13">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ht="13">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ht="13">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ht="13">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ht="13">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ht="13">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ht="13">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ht="13">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ht="13">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ht="13">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ht="13">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ht="13">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ht="13">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ht="13">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ht="13">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ht="13">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ht="13">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ht="13">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ht="13">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ht="13">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ht="13">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ht="13">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ht="13">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ht="13">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ht="13">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ht="13">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ht="13">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ht="13">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ht="13">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ht="13">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ht="13">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ht="13">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4"/>
      <c r="D2" s="3716" t="b">
        <f>IF(E1="项目模式",IF(E2="——",ROUND(C49*D3/10000,0),ROUND(C49*D3/10000,0)-F2),IF(E1="单套模式",IF(E2="——",ROUND(C49*D3/10000,4),ROUND(C49*D3/10000,4)-F2)))</f>
        <v>0</v>
      </c>
      <c r="E2" s="2791"/>
      <c r="F2" s="3717"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12000.230000000001</v>
      </c>
      <c r="E3" s="3204"/>
      <c r="F3" s="3846">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c r="A4" s="235" t="s">
        <v>1573</v>
      </c>
      <c r="B4" s="236"/>
      <c r="C4" s="4563" t="s">
        <v>1574</v>
      </c>
      <c r="D4" s="4564"/>
      <c r="E4" s="4565" t="s">
        <v>1575</v>
      </c>
      <c r="F4" s="4566"/>
      <c r="G4" s="4563" t="s">
        <v>1576</v>
      </c>
      <c r="H4" s="4564"/>
      <c r="I4" s="4563" t="s">
        <v>1577</v>
      </c>
      <c r="J4" s="4564"/>
      <c r="K4" s="2809" t="s">
        <v>1578</v>
      </c>
      <c r="L4" s="1974"/>
      <c r="M4" s="1975"/>
      <c r="N4" s="1975"/>
      <c r="O4" s="1975"/>
      <c r="P4" s="4567" t="s">
        <v>1579</v>
      </c>
      <c r="Q4" s="4568"/>
      <c r="R4" s="4573" t="s">
        <v>1575</v>
      </c>
      <c r="S4" s="4574"/>
      <c r="T4" s="4573" t="s">
        <v>1576</v>
      </c>
      <c r="U4" s="4574"/>
      <c r="V4" s="4579" t="s">
        <v>1577</v>
      </c>
      <c r="W4" s="4579"/>
      <c r="X4" s="909"/>
      <c r="Y4" s="4588" t="s">
        <v>1579</v>
      </c>
      <c r="Z4" s="4589"/>
      <c r="AA4" s="4560" t="s">
        <v>1575</v>
      </c>
      <c r="AB4" s="4560" t="s">
        <v>1576</v>
      </c>
      <c r="AC4" s="4560" t="s">
        <v>1577</v>
      </c>
    </row>
    <row r="5" spans="1:29">
      <c r="A5" s="238"/>
      <c r="B5" s="239"/>
      <c r="C5" s="4582" t="s">
        <v>1580</v>
      </c>
      <c r="D5" s="4583"/>
      <c r="E5" s="4597" t="s">
        <v>1581</v>
      </c>
      <c r="F5" s="4598"/>
      <c r="G5" s="4582" t="s">
        <v>1582</v>
      </c>
      <c r="H5" s="4583"/>
      <c r="I5" s="4582" t="s">
        <v>1583</v>
      </c>
      <c r="J5" s="4583"/>
      <c r="K5" s="2810"/>
      <c r="L5" s="1974"/>
      <c r="M5" s="1975"/>
      <c r="N5" s="1975"/>
      <c r="O5" s="1975"/>
      <c r="P5" s="4569"/>
      <c r="Q5" s="4570"/>
      <c r="R5" s="4575"/>
      <c r="S5" s="4576"/>
      <c r="T5" s="4575"/>
      <c r="U5" s="4576"/>
      <c r="V5" s="4579"/>
      <c r="W5" s="4579"/>
      <c r="X5" s="909"/>
      <c r="Y5" s="4590"/>
      <c r="Z5" s="4591"/>
      <c r="AA5" s="4561"/>
      <c r="AB5" s="4561"/>
      <c r="AC5" s="4561"/>
    </row>
    <row r="6" spans="1:29" ht="15" thickBot="1">
      <c r="A6" s="240"/>
      <c r="B6" s="241"/>
      <c r="C6" s="4580" t="s">
        <v>1584</v>
      </c>
      <c r="D6" s="4581"/>
      <c r="E6" s="4595" t="s">
        <v>1584</v>
      </c>
      <c r="F6" s="4596"/>
      <c r="G6" s="4580" t="s">
        <v>1584</v>
      </c>
      <c r="H6" s="4581"/>
      <c r="I6" s="4580" t="s">
        <v>1584</v>
      </c>
      <c r="J6" s="4581"/>
      <c r="K6" s="2810" t="s">
        <v>1585</v>
      </c>
      <c r="L6" s="1974"/>
      <c r="M6" s="1975"/>
      <c r="N6" s="1975"/>
      <c r="O6" s="1975"/>
      <c r="P6" s="4571"/>
      <c r="Q6" s="4572"/>
      <c r="R6" s="4575"/>
      <c r="S6" s="4576"/>
      <c r="T6" s="4577"/>
      <c r="U6" s="4578"/>
      <c r="V6" s="4579"/>
      <c r="W6" s="4579"/>
      <c r="X6" s="909"/>
      <c r="Y6" s="4592"/>
      <c r="Z6" s="4593"/>
      <c r="AA6" s="4562"/>
      <c r="AB6" s="4562"/>
      <c r="AC6" s="4562"/>
    </row>
    <row r="7" spans="1:29" s="46" customFormat="1" ht="14.5" thickBot="1">
      <c r="A7" s="242" t="s">
        <v>1586</v>
      </c>
      <c r="B7" s="243"/>
      <c r="C7" s="2811">
        <f>'数据-取费表'!B2</f>
        <v>46090</v>
      </c>
      <c r="D7" s="2886">
        <v>100</v>
      </c>
      <c r="E7" s="2840"/>
      <c r="F7" s="3718">
        <f>SUMIF(58:58,YEAR(E7)&amp;"-"&amp;MONTH(E7),59:59)</f>
        <v>0</v>
      </c>
      <c r="G7" s="2840"/>
      <c r="H7" s="3730">
        <f>SUMIF(58:58,YEAR(G7)&amp;"-"&amp;MONTH(G7),59:59)</f>
        <v>0</v>
      </c>
      <c r="I7" s="2840"/>
      <c r="J7" s="3730">
        <f>SUMIF(58:58,YEAR(I7)&amp;"-"&amp;MONTH(I7),59:59)</f>
        <v>0</v>
      </c>
      <c r="K7" s="2802"/>
      <c r="L7" s="1976"/>
      <c r="M7" s="1929"/>
      <c r="N7" s="1929"/>
      <c r="O7" s="1929"/>
      <c r="P7" s="4584" t="s">
        <v>1587</v>
      </c>
      <c r="Q7" s="4594"/>
      <c r="R7" s="3634" t="s">
        <v>18</v>
      </c>
      <c r="S7" s="3156">
        <f t="shared" ref="S7:S15" si="0">F7</f>
        <v>0</v>
      </c>
      <c r="T7" s="3634" t="s">
        <v>18</v>
      </c>
      <c r="U7" s="3156">
        <f t="shared" ref="U7:U15" si="1">H7</f>
        <v>0</v>
      </c>
      <c r="V7" s="3634" t="s">
        <v>18</v>
      </c>
      <c r="W7" s="3156">
        <f t="shared" ref="W7:W15" si="2">J7</f>
        <v>0</v>
      </c>
      <c r="X7" s="482"/>
      <c r="Y7" s="4586" t="s">
        <v>1587</v>
      </c>
      <c r="Z7" s="4587"/>
      <c r="AA7" s="28" t="e">
        <f>D7/F7</f>
        <v>#DIV/0!</v>
      </c>
      <c r="AB7" s="28" t="e">
        <f>D7/H7</f>
        <v>#DIV/0!</v>
      </c>
      <c r="AC7" s="28" t="e">
        <f>D7/J7</f>
        <v>#DIV/0!</v>
      </c>
    </row>
    <row r="8" spans="1:29" s="46" customFormat="1" ht="14.5" thickBot="1">
      <c r="A8" s="242" t="s">
        <v>1588</v>
      </c>
      <c r="B8" s="243"/>
      <c r="C8" s="2812"/>
      <c r="D8" s="2886">
        <v>100</v>
      </c>
      <c r="E8" s="2865"/>
      <c r="F8" s="3718">
        <f>SUMIF(61:61,E8,62:62)-SUMIF(61:61,C8,62:62)+100</f>
        <v>100</v>
      </c>
      <c r="G8" s="2812"/>
      <c r="H8" s="3730">
        <f>SUMIF(61:61,G8,62:62)-SUMIF(61:61,C8,62:62)+100</f>
        <v>100</v>
      </c>
      <c r="I8" s="2865"/>
      <c r="J8" s="3730">
        <f>SUMIF(61:61,I8,62:62)-SUMIF(61:61,C8,62:62)+100</f>
        <v>100</v>
      </c>
      <c r="K8" s="2802"/>
      <c r="L8" s="1976"/>
      <c r="M8" s="1929"/>
      <c r="N8" s="1929"/>
      <c r="O8" s="1929"/>
      <c r="P8" s="4584" t="s">
        <v>1590</v>
      </c>
      <c r="Q8" s="4585"/>
      <c r="R8" s="3634" t="s">
        <v>18</v>
      </c>
      <c r="S8" s="3156">
        <f t="shared" si="0"/>
        <v>100</v>
      </c>
      <c r="T8" s="3634" t="s">
        <v>18</v>
      </c>
      <c r="U8" s="3156">
        <f t="shared" si="1"/>
        <v>100</v>
      </c>
      <c r="V8" s="3634" t="s">
        <v>18</v>
      </c>
      <c r="W8" s="3156">
        <f t="shared" si="2"/>
        <v>100</v>
      </c>
      <c r="X8" s="482"/>
      <c r="Y8" s="4586" t="s">
        <v>1590</v>
      </c>
      <c r="Z8" s="4587"/>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9">
        <f>SUMIF(63:63,E9,64:64)-SUMIF(63:63,C9,64:64)+100</f>
        <v>100</v>
      </c>
      <c r="G9" s="2870"/>
      <c r="H9" s="3731">
        <f>SUMIF(63:63,G9,64:64)-SUMIF(63:63,C9,64:64)+100</f>
        <v>100</v>
      </c>
      <c r="I9" s="2870"/>
      <c r="J9" s="3731">
        <f>SUMIF(63:63,I9,64:64)-SUMIF(63:63,C9,64:64)+100</f>
        <v>100</v>
      </c>
      <c r="K9" s="2802"/>
      <c r="L9" s="1976"/>
      <c r="M9" s="1929"/>
      <c r="N9" s="1929"/>
      <c r="O9" s="1929"/>
      <c r="P9" s="4558" t="s">
        <v>1593</v>
      </c>
      <c r="Q9" s="1698" t="str">
        <f t="shared" ref="Q9:Q15" si="6">B9</f>
        <v>用途</v>
      </c>
      <c r="R9" s="3634" t="s">
        <v>13</v>
      </c>
      <c r="S9" s="3156">
        <f t="shared" si="0"/>
        <v>100</v>
      </c>
      <c r="T9" s="3634" t="s">
        <v>13</v>
      </c>
      <c r="U9" s="3156">
        <f t="shared" si="1"/>
        <v>100</v>
      </c>
      <c r="V9" s="3634" t="s">
        <v>13</v>
      </c>
      <c r="W9" s="3156">
        <f t="shared" si="2"/>
        <v>100</v>
      </c>
      <c r="X9" s="482"/>
      <c r="Y9" s="4559"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02"/>
      <c r="L10" s="1977"/>
      <c r="M10" s="1978"/>
      <c r="N10" s="1978"/>
      <c r="O10" s="1978"/>
      <c r="P10" s="4558"/>
      <c r="Q10" s="1698" t="str">
        <f t="shared" si="6"/>
        <v>土地使用年限（年）</v>
      </c>
      <c r="R10" s="3634" t="s">
        <v>13</v>
      </c>
      <c r="S10" s="3156">
        <f t="shared" si="0"/>
        <v>100</v>
      </c>
      <c r="T10" s="3634" t="s">
        <v>13</v>
      </c>
      <c r="U10" s="3156">
        <f t="shared" si="1"/>
        <v>100</v>
      </c>
      <c r="V10" s="3634" t="s">
        <v>13</v>
      </c>
      <c r="W10" s="3156">
        <f t="shared" si="2"/>
        <v>100</v>
      </c>
      <c r="X10" s="482"/>
      <c r="Y10" s="4559"/>
      <c r="Z10" s="28" t="str">
        <f t="shared" si="7"/>
        <v>土地使用年限（年）</v>
      </c>
      <c r="AA10" s="28">
        <f t="shared" si="3"/>
        <v>1</v>
      </c>
      <c r="AB10" s="28">
        <f t="shared" si="4"/>
        <v>1</v>
      </c>
      <c r="AC10" s="28">
        <f t="shared" si="5"/>
        <v>1</v>
      </c>
    </row>
    <row r="11" spans="1:29" ht="15.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03"/>
      <c r="L11" s="1979"/>
      <c r="M11" s="1975"/>
      <c r="N11" s="1975"/>
      <c r="O11" s="1975"/>
      <c r="P11" s="4558"/>
      <c r="Q11" s="1698" t="str">
        <f t="shared" si="6"/>
        <v>容积率</v>
      </c>
      <c r="R11" s="3634" t="s">
        <v>16</v>
      </c>
      <c r="S11" s="3156">
        <f t="shared" si="0"/>
        <v>100</v>
      </c>
      <c r="T11" s="3634" t="s">
        <v>16</v>
      </c>
      <c r="U11" s="3156">
        <f t="shared" si="1"/>
        <v>100</v>
      </c>
      <c r="V11" s="3634" t="s">
        <v>16</v>
      </c>
      <c r="W11" s="3156">
        <f t="shared" si="2"/>
        <v>100</v>
      </c>
      <c r="X11" s="482"/>
      <c r="Y11" s="4559"/>
      <c r="Z11" s="28" t="str">
        <f t="shared" si="7"/>
        <v>容积率</v>
      </c>
      <c r="AA11" s="28">
        <f t="shared" si="3"/>
        <v>1</v>
      </c>
      <c r="AB11" s="28">
        <f t="shared" si="4"/>
        <v>1</v>
      </c>
      <c r="AC11" s="28">
        <f t="shared" si="5"/>
        <v>1</v>
      </c>
    </row>
    <row r="12" spans="1:29" s="46" customFormat="1" ht="15.5">
      <c r="A12" s="257"/>
      <c r="B12" s="2793">
        <v>111</v>
      </c>
      <c r="C12" s="2816"/>
      <c r="D12" s="2889">
        <v>100</v>
      </c>
      <c r="E12" s="2816"/>
      <c r="F12" s="3720">
        <f>SUMIF(70:70,E12,71:71)-SUMIF(70:70,C12,71:71)+100</f>
        <v>100</v>
      </c>
      <c r="G12" s="2816"/>
      <c r="H12" s="3732">
        <f>SUMIF(70:70,G12,71:71)-SUMIF(70:70,C12,71:71)+100</f>
        <v>100</v>
      </c>
      <c r="I12" s="2816"/>
      <c r="J12" s="3732">
        <f>SUMIF(70:70,I12,71:71)-SUMIF(70:70,C12,71:71)+100</f>
        <v>100</v>
      </c>
      <c r="K12" s="2804"/>
      <c r="L12" s="1976"/>
      <c r="M12" s="1929"/>
      <c r="N12" s="1929"/>
      <c r="O12" s="1929"/>
      <c r="P12" s="4558"/>
      <c r="Q12" s="1698">
        <f t="shared" si="6"/>
        <v>111</v>
      </c>
      <c r="R12" s="3634" t="s">
        <v>16</v>
      </c>
      <c r="S12" s="3156">
        <f t="shared" si="0"/>
        <v>100</v>
      </c>
      <c r="T12" s="3634" t="s">
        <v>16</v>
      </c>
      <c r="U12" s="3156">
        <f t="shared" si="1"/>
        <v>100</v>
      </c>
      <c r="V12" s="3634" t="s">
        <v>16</v>
      </c>
      <c r="W12" s="3156">
        <f t="shared" si="2"/>
        <v>100</v>
      </c>
      <c r="X12" s="482"/>
      <c r="Y12" s="4559"/>
      <c r="Z12" s="28">
        <f t="shared" si="7"/>
        <v>111</v>
      </c>
      <c r="AA12" s="28">
        <f>D12/F12</f>
        <v>1</v>
      </c>
      <c r="AB12" s="28">
        <f>D12/H12</f>
        <v>1</v>
      </c>
      <c r="AC12" s="28">
        <f>D12/J12</f>
        <v>1</v>
      </c>
    </row>
    <row r="13" spans="1:29" ht="15.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04"/>
      <c r="L13" s="1980"/>
      <c r="M13" s="1975"/>
      <c r="N13" s="1975"/>
      <c r="O13" s="1975"/>
      <c r="P13" s="4558"/>
      <c r="Q13" s="1698">
        <f t="shared" si="6"/>
        <v>111</v>
      </c>
      <c r="R13" s="3634" t="s">
        <v>16</v>
      </c>
      <c r="S13" s="3156">
        <f t="shared" si="0"/>
        <v>100</v>
      </c>
      <c r="T13" s="3634" t="s">
        <v>16</v>
      </c>
      <c r="U13" s="3156">
        <f t="shared" si="1"/>
        <v>100</v>
      </c>
      <c r="V13" s="3634" t="s">
        <v>16</v>
      </c>
      <c r="W13" s="3156">
        <f t="shared" si="2"/>
        <v>100</v>
      </c>
      <c r="X13" s="482"/>
      <c r="Y13" s="4559"/>
      <c r="Z13" s="28">
        <f t="shared" si="7"/>
        <v>111</v>
      </c>
      <c r="AA13" s="28">
        <f t="shared" si="3"/>
        <v>1</v>
      </c>
      <c r="AB13" s="28">
        <f t="shared" si="4"/>
        <v>1</v>
      </c>
      <c r="AC13" s="28">
        <f t="shared" si="5"/>
        <v>1</v>
      </c>
    </row>
    <row r="14" spans="1:29" ht="16" thickBot="1">
      <c r="A14" s="260"/>
      <c r="B14" s="2794">
        <v>111</v>
      </c>
      <c r="C14" s="2818"/>
      <c r="D14" s="2891">
        <v>100</v>
      </c>
      <c r="E14" s="2818"/>
      <c r="F14" s="3721">
        <f>SUMIF(74:74,E14,75:75)-SUMIF(74:74,C14,75:75)+100</f>
        <v>100</v>
      </c>
      <c r="G14" s="2818"/>
      <c r="H14" s="3728">
        <f>SUMIF(74:74,G14,75:75)-SUMIF(74:74,C14,75:75)+100</f>
        <v>100</v>
      </c>
      <c r="I14" s="2818"/>
      <c r="J14" s="3728">
        <f>SUMIF(74:74,I14,75:75)-SUMIF(74:74,C14,75:75)+100</f>
        <v>100</v>
      </c>
      <c r="K14" s="2804"/>
      <c r="L14" s="1980"/>
      <c r="M14" s="1975"/>
      <c r="N14" s="1975"/>
      <c r="O14" s="1975"/>
      <c r="P14" s="4558"/>
      <c r="Q14" s="1698">
        <f t="shared" si="6"/>
        <v>111</v>
      </c>
      <c r="R14" s="3634" t="s">
        <v>16</v>
      </c>
      <c r="S14" s="3156">
        <f t="shared" si="0"/>
        <v>100</v>
      </c>
      <c r="T14" s="3634" t="s">
        <v>16</v>
      </c>
      <c r="U14" s="3156">
        <f t="shared" si="1"/>
        <v>100</v>
      </c>
      <c r="V14" s="3634" t="s">
        <v>16</v>
      </c>
      <c r="W14" s="3156">
        <f t="shared" si="2"/>
        <v>100</v>
      </c>
      <c r="X14" s="482"/>
      <c r="Y14" s="4559"/>
      <c r="Z14" s="28">
        <f t="shared" si="7"/>
        <v>111</v>
      </c>
      <c r="AA14" s="28">
        <f t="shared" si="3"/>
        <v>1</v>
      </c>
      <c r="AB14" s="28">
        <f t="shared" si="4"/>
        <v>1</v>
      </c>
      <c r="AC14" s="28">
        <f t="shared" si="5"/>
        <v>1</v>
      </c>
    </row>
    <row r="15" spans="1:29" ht="98">
      <c r="A15" s="262" t="s">
        <v>1597</v>
      </c>
      <c r="B15" s="2795" t="s">
        <v>1235</v>
      </c>
      <c r="C15" s="2819" t="str">
        <f>估价对象房地状况!C3</f>
        <v>估价对象周边居住用地比例、居住小区规模和社区发展完善程度，综合评价居住社区成熟度一般</v>
      </c>
      <c r="D15" s="2892">
        <v>100</v>
      </c>
      <c r="E15" s="2850"/>
      <c r="F15" s="3722">
        <f>SUMIF(76:76,E16,77:77)-SUMIF(76:76,C16,77:77)+100</f>
        <v>100</v>
      </c>
      <c r="G15" s="2844"/>
      <c r="H15" s="3722">
        <f>SUMIF(76:76,G16,77:77)-SUMIF(76:76,C16,77:77)+100</f>
        <v>100</v>
      </c>
      <c r="I15" s="2844"/>
      <c r="J15" s="3722">
        <f>SUMIF(76:76,I16,77:77)-SUMIF(76:76,C16,77:77)+100</f>
        <v>100</v>
      </c>
      <c r="K15" s="2805"/>
      <c r="L15" s="1980"/>
      <c r="M15" s="1975"/>
      <c r="N15" s="1975"/>
      <c r="O15" s="1975"/>
      <c r="P15" s="4556" t="s">
        <v>1598</v>
      </c>
      <c r="Q15" s="1507" t="str">
        <f t="shared" si="6"/>
        <v>居住社区成熟度</v>
      </c>
      <c r="R15" s="3736" t="s">
        <v>16</v>
      </c>
      <c r="S15" s="3157">
        <f t="shared" si="0"/>
        <v>100</v>
      </c>
      <c r="T15" s="3736" t="s">
        <v>16</v>
      </c>
      <c r="U15" s="3157">
        <f t="shared" si="1"/>
        <v>100</v>
      </c>
      <c r="V15" s="3736" t="s">
        <v>16</v>
      </c>
      <c r="W15" s="3157">
        <f t="shared" si="2"/>
        <v>100</v>
      </c>
      <c r="X15" s="909"/>
      <c r="Y15" s="4549" t="s">
        <v>1598</v>
      </c>
      <c r="Z15" s="907" t="str">
        <f t="shared" si="7"/>
        <v>居住社区成熟度</v>
      </c>
      <c r="AA15" s="907">
        <f t="shared" si="3"/>
        <v>1</v>
      </c>
      <c r="AB15" s="907">
        <f t="shared" si="4"/>
        <v>1</v>
      </c>
      <c r="AC15" s="907">
        <f t="shared" si="5"/>
        <v>1</v>
      </c>
    </row>
    <row r="16" spans="1:29" ht="15.5">
      <c r="A16" s="254"/>
      <c r="B16" s="2796"/>
      <c r="C16" s="2820"/>
      <c r="D16" s="2893"/>
      <c r="E16" s="2854"/>
      <c r="F16" s="3723"/>
      <c r="G16" s="2848"/>
      <c r="H16" s="3724"/>
      <c r="I16" s="2848"/>
      <c r="J16" s="3723"/>
      <c r="K16" s="2806"/>
      <c r="L16" s="1980"/>
      <c r="M16" s="1975"/>
      <c r="N16" s="1975"/>
      <c r="O16" s="1975"/>
      <c r="P16" s="4557"/>
      <c r="Q16" s="1507"/>
      <c r="R16" s="3736"/>
      <c r="S16" s="3157"/>
      <c r="T16" s="3736"/>
      <c r="U16" s="3157"/>
      <c r="V16" s="3736"/>
      <c r="W16" s="3157"/>
      <c r="X16" s="909"/>
      <c r="Y16" s="4550"/>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51"/>
      <c r="F17" s="3724">
        <f>SUMIF(78:78,E18,79:79)-SUMIF(78:78,C18,79:79)+100</f>
        <v>100</v>
      </c>
      <c r="G17" s="2845"/>
      <c r="H17" s="3725">
        <f>SUMIF(78:78,G18,79:79)-SUMIF(78:78,C18,79:79)+100</f>
        <v>100</v>
      </c>
      <c r="I17" s="2845"/>
      <c r="J17" s="3725">
        <f>SUMIF(78:78,I18,79:79)-SUMIF(78:78,C18,79:79)+100</f>
        <v>100</v>
      </c>
      <c r="K17" s="2805"/>
      <c r="L17" s="1980"/>
      <c r="M17" s="1975"/>
      <c r="N17" s="1975"/>
      <c r="O17" s="1975"/>
      <c r="P17" s="4557"/>
      <c r="Q17" s="1507" t="str">
        <f>B17</f>
        <v>交通便捷度</v>
      </c>
      <c r="R17" s="3736" t="s">
        <v>16</v>
      </c>
      <c r="S17" s="3157">
        <f>F17</f>
        <v>100</v>
      </c>
      <c r="T17" s="3736" t="s">
        <v>16</v>
      </c>
      <c r="U17" s="3157">
        <f>H17</f>
        <v>100</v>
      </c>
      <c r="V17" s="3736" t="s">
        <v>16</v>
      </c>
      <c r="W17" s="3157">
        <f>J17</f>
        <v>100</v>
      </c>
      <c r="X17" s="909"/>
      <c r="Y17" s="4550"/>
      <c r="Z17" s="907" t="str">
        <f>Q17</f>
        <v>交通便捷度</v>
      </c>
      <c r="AA17" s="907">
        <f t="shared" si="3"/>
        <v>1</v>
      </c>
      <c r="AB17" s="907">
        <f t="shared" si="4"/>
        <v>1</v>
      </c>
      <c r="AC17" s="907">
        <f t="shared" si="5"/>
        <v>1</v>
      </c>
    </row>
    <row r="18" spans="1:29" ht="15.5">
      <c r="A18" s="254"/>
      <c r="B18" s="2798"/>
      <c r="C18" s="2822"/>
      <c r="D18" s="2894"/>
      <c r="E18" s="2852"/>
      <c r="F18" s="3724"/>
      <c r="G18" s="2846"/>
      <c r="H18" s="3723"/>
      <c r="I18" s="2846"/>
      <c r="J18" s="3723"/>
      <c r="K18" s="2806"/>
      <c r="L18" s="1980"/>
      <c r="M18" s="1975"/>
      <c r="N18" s="1975"/>
      <c r="O18" s="1975"/>
      <c r="P18" s="4557"/>
      <c r="Q18" s="1507"/>
      <c r="R18" s="3736"/>
      <c r="S18" s="3157"/>
      <c r="T18" s="3736"/>
      <c r="U18" s="3157"/>
      <c r="V18" s="3736"/>
      <c r="W18" s="3157"/>
      <c r="X18" s="909"/>
      <c r="Y18" s="4550"/>
      <c r="Z18" s="907"/>
      <c r="AA18" s="907">
        <v>1</v>
      </c>
      <c r="AB18" s="907">
        <v>1</v>
      </c>
      <c r="AC18" s="907">
        <v>1</v>
      </c>
    </row>
    <row r="19" spans="1:29" ht="42">
      <c r="A19" s="254"/>
      <c r="B19" s="2797" t="s">
        <v>1236</v>
      </c>
      <c r="C19" s="2821" t="str">
        <f>估价对象房地状况!C7</f>
        <v>估价对象所在区域公共配套设施齐备情况</v>
      </c>
      <c r="D19" s="2895">
        <v>100</v>
      </c>
      <c r="E19" s="2853"/>
      <c r="F19" s="3725">
        <f>SUMIF(80:80,E20,81:81)-SUMIF(80:80,C20,81:81)+100</f>
        <v>100</v>
      </c>
      <c r="G19" s="2847"/>
      <c r="H19" s="3724">
        <f>SUMIF(80:80,G20,81:81)-SUMIF(80:80,C20,81:81)+100</f>
        <v>100</v>
      </c>
      <c r="I19" s="2847"/>
      <c r="J19" s="3724">
        <f>SUMIF(80:80,I20,81:81)-SUMIF(80:80,C20,81:81)+100</f>
        <v>100</v>
      </c>
      <c r="K19" s="2805"/>
      <c r="L19" s="1980"/>
      <c r="M19" s="1975"/>
      <c r="N19" s="1975"/>
      <c r="O19" s="1975"/>
      <c r="P19" s="4557"/>
      <c r="Q19" s="1507" t="str">
        <f>B19</f>
        <v>公共配套设施</v>
      </c>
      <c r="R19" s="3736" t="s">
        <v>16</v>
      </c>
      <c r="S19" s="3157">
        <f>F19</f>
        <v>100</v>
      </c>
      <c r="T19" s="3736" t="s">
        <v>16</v>
      </c>
      <c r="U19" s="3157">
        <f>H19</f>
        <v>100</v>
      </c>
      <c r="V19" s="3736" t="s">
        <v>16</v>
      </c>
      <c r="W19" s="3157">
        <f>J19</f>
        <v>100</v>
      </c>
      <c r="X19" s="909"/>
      <c r="Y19" s="4550"/>
      <c r="Z19" s="907" t="str">
        <f>Q19</f>
        <v>公共配套设施</v>
      </c>
      <c r="AA19" s="907">
        <f t="shared" si="3"/>
        <v>1</v>
      </c>
      <c r="AB19" s="907">
        <f t="shared" si="4"/>
        <v>1</v>
      </c>
      <c r="AC19" s="907">
        <f t="shared" si="5"/>
        <v>1</v>
      </c>
    </row>
    <row r="20" spans="1:29" ht="15.5">
      <c r="A20" s="254"/>
      <c r="B20" s="2798"/>
      <c r="C20" s="2820"/>
      <c r="D20" s="2893"/>
      <c r="E20" s="2854"/>
      <c r="F20" s="3723"/>
      <c r="G20" s="2848"/>
      <c r="H20" s="3723"/>
      <c r="I20" s="2848"/>
      <c r="J20" s="3723"/>
      <c r="K20" s="2806"/>
      <c r="L20" s="1980"/>
      <c r="M20" s="1975"/>
      <c r="N20" s="1975"/>
      <c r="O20" s="1975"/>
      <c r="P20" s="4557"/>
      <c r="Q20" s="1507"/>
      <c r="R20" s="3736"/>
      <c r="S20" s="3157"/>
      <c r="T20" s="3736"/>
      <c r="U20" s="3157"/>
      <c r="V20" s="3736"/>
      <c r="W20" s="3157"/>
      <c r="X20" s="909"/>
      <c r="Y20" s="4550"/>
      <c r="Z20" s="907"/>
      <c r="AA20" s="907">
        <v>1</v>
      </c>
      <c r="AB20" s="907">
        <v>1</v>
      </c>
      <c r="AC20" s="907">
        <v>1</v>
      </c>
    </row>
    <row r="21" spans="1:29" ht="28">
      <c r="A21" s="254"/>
      <c r="B21" s="2799" t="s">
        <v>1238</v>
      </c>
      <c r="C21" s="2821" t="str">
        <f>估价对象房地状况!C8</f>
        <v>估价对象所在区域基础设施水平</v>
      </c>
      <c r="D21" s="2894">
        <v>100</v>
      </c>
      <c r="E21" s="2853"/>
      <c r="F21" s="3725">
        <f>SUMIF(82:82,E22,83:83)-SUMIF(82:82,C22,83:83)+100</f>
        <v>100</v>
      </c>
      <c r="G21" s="2847"/>
      <c r="H21" s="3724">
        <f>SUMIF(82:82,G22,83:83)-SUMIF(82:82,C22,83:83)+100</f>
        <v>100</v>
      </c>
      <c r="I21" s="2847"/>
      <c r="J21" s="3724">
        <f>SUMIF(82:82,I22,83:83)-SUMIF(82:82,C22,83:83)+100</f>
        <v>100</v>
      </c>
      <c r="K21" s="2805"/>
      <c r="L21" s="1980"/>
      <c r="M21" s="1975"/>
      <c r="N21" s="1975"/>
      <c r="O21" s="1975"/>
      <c r="P21" s="4557"/>
      <c r="Q21" s="1507" t="str">
        <f>B21</f>
        <v>基础设施水平</v>
      </c>
      <c r="R21" s="3736" t="s">
        <v>13</v>
      </c>
      <c r="S21" s="3157">
        <f>F21</f>
        <v>100</v>
      </c>
      <c r="T21" s="3736" t="s">
        <v>13</v>
      </c>
      <c r="U21" s="3157">
        <f>H21</f>
        <v>100</v>
      </c>
      <c r="V21" s="3736" t="s">
        <v>13</v>
      </c>
      <c r="W21" s="3157">
        <f>J21</f>
        <v>100</v>
      </c>
      <c r="X21" s="909"/>
      <c r="Y21" s="4550"/>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23"/>
      <c r="G22" s="2871"/>
      <c r="H22" s="3723"/>
      <c r="I22" s="2820"/>
      <c r="J22" s="3723"/>
      <c r="K22" s="2807"/>
      <c r="L22" s="1980"/>
      <c r="M22" s="1975"/>
      <c r="N22" s="1975"/>
      <c r="O22" s="1975"/>
      <c r="P22" s="4557"/>
      <c r="Q22" s="1507"/>
      <c r="R22" s="3736"/>
      <c r="S22" s="3157"/>
      <c r="T22" s="3736"/>
      <c r="U22" s="3157"/>
      <c r="V22" s="3736"/>
      <c r="W22" s="3157"/>
      <c r="X22" s="909"/>
      <c r="Y22" s="4550"/>
      <c r="Z22" s="907"/>
      <c r="AA22" s="907">
        <v>1</v>
      </c>
      <c r="AB22" s="907">
        <v>1</v>
      </c>
      <c r="AC22" s="907">
        <v>1</v>
      </c>
    </row>
    <row r="23" spans="1:29" ht="56">
      <c r="A23" s="254"/>
      <c r="B23" s="2797" t="s">
        <v>1239</v>
      </c>
      <c r="C23" s="2821" t="str">
        <f>估价对象房地状况!C9</f>
        <v>区域自然环境：；人文环境；综合评价环境状况一般</v>
      </c>
      <c r="D23" s="2894">
        <v>100</v>
      </c>
      <c r="E23" s="2851"/>
      <c r="F23" s="3724">
        <f>SUMIF(84:84,E24,85:85)-SUMIF(84:84,C24,85:85)+100</f>
        <v>100</v>
      </c>
      <c r="G23" s="2845"/>
      <c r="H23" s="3724">
        <f>SUMIF(84:84,G24,85:85)-SUMIF(84:84,C24,85:85)+100</f>
        <v>100</v>
      </c>
      <c r="I23" s="2845"/>
      <c r="J23" s="3724">
        <f>SUMIF(84:84,I24,85:85)-SUMIF(84:84,C24,85:85)+100</f>
        <v>100</v>
      </c>
      <c r="K23" s="2805"/>
      <c r="L23" s="1980"/>
      <c r="M23" s="1975"/>
      <c r="N23" s="1975"/>
      <c r="O23" s="1975"/>
      <c r="P23" s="4557"/>
      <c r="Q23" s="1507" t="str">
        <f>B23</f>
        <v>自然及人文环境</v>
      </c>
      <c r="R23" s="3736" t="s">
        <v>16</v>
      </c>
      <c r="S23" s="3157">
        <f>F23</f>
        <v>100</v>
      </c>
      <c r="T23" s="3736" t="s">
        <v>16</v>
      </c>
      <c r="U23" s="3157">
        <f>H23</f>
        <v>100</v>
      </c>
      <c r="V23" s="3736" t="s">
        <v>16</v>
      </c>
      <c r="W23" s="3157">
        <f>J23</f>
        <v>100</v>
      </c>
      <c r="X23" s="909"/>
      <c r="Y23" s="4550"/>
      <c r="Z23" s="907" t="str">
        <f>Q23</f>
        <v>自然及人文环境</v>
      </c>
      <c r="AA23" s="907">
        <f>D23/F23</f>
        <v>1</v>
      </c>
      <c r="AB23" s="907">
        <f>D23/H23</f>
        <v>1</v>
      </c>
      <c r="AC23" s="907">
        <f>D23/J23</f>
        <v>1</v>
      </c>
    </row>
    <row r="24" spans="1:29" ht="15.5">
      <c r="A24" s="254"/>
      <c r="B24" s="2798"/>
      <c r="C24" s="2820"/>
      <c r="D24" s="2893"/>
      <c r="E24" s="2854"/>
      <c r="F24" s="3723"/>
      <c r="G24" s="2848"/>
      <c r="H24" s="3723"/>
      <c r="I24" s="2848"/>
      <c r="J24" s="3723"/>
      <c r="K24" s="2806"/>
      <c r="L24" s="1980"/>
      <c r="M24" s="1975"/>
      <c r="N24" s="1975"/>
      <c r="O24" s="1975"/>
      <c r="P24" s="4557"/>
      <c r="Q24" s="1507"/>
      <c r="R24" s="3736"/>
      <c r="S24" s="3157"/>
      <c r="T24" s="3736"/>
      <c r="U24" s="3157"/>
      <c r="V24" s="3736"/>
      <c r="W24" s="3157"/>
      <c r="X24" s="909"/>
      <c r="Y24" s="4550"/>
      <c r="Z24" s="907"/>
      <c r="AA24" s="907">
        <v>1</v>
      </c>
      <c r="AB24" s="907">
        <v>1</v>
      </c>
      <c r="AC24" s="907">
        <v>1</v>
      </c>
    </row>
    <row r="25" spans="1:29" ht="15.5">
      <c r="A25" s="254"/>
      <c r="B25" s="2789" t="s">
        <v>1599</v>
      </c>
      <c r="C25" s="2823"/>
      <c r="D25" s="2890">
        <v>100</v>
      </c>
      <c r="E25" s="2826"/>
      <c r="F25" s="3726">
        <f>SUMIF(86:86,E25,87:87)-SUMIF(86:86,C25,87:87)+100</f>
        <v>100</v>
      </c>
      <c r="G25" s="2869"/>
      <c r="H25" s="3726">
        <f>SUMIF(86:86,G25,87:87)-SUMIF(86:86,C25,87:87)+100</f>
        <v>100</v>
      </c>
      <c r="I25" s="2869"/>
      <c r="J25" s="3726">
        <f>SUMIF(86:86,I25,87:87)-SUMIF(86:86,C25,87:87)+100</f>
        <v>100</v>
      </c>
      <c r="K25" s="2803"/>
      <c r="L25" s="1980"/>
      <c r="M25" s="1975"/>
      <c r="N25" s="1975"/>
      <c r="O25" s="1975"/>
      <c r="P25" s="4557"/>
      <c r="Q25" s="1507" t="str">
        <f t="shared" ref="Q25:Q46" si="11">B25</f>
        <v>楼层-1</v>
      </c>
      <c r="R25" s="3736" t="s">
        <v>16</v>
      </c>
      <c r="S25" s="3157">
        <f t="shared" ref="S25:S46" si="12">F25</f>
        <v>100</v>
      </c>
      <c r="T25" s="3736" t="s">
        <v>16</v>
      </c>
      <c r="U25" s="3157">
        <f t="shared" ref="U25:U46" si="13">H25</f>
        <v>100</v>
      </c>
      <c r="V25" s="3736" t="s">
        <v>16</v>
      </c>
      <c r="W25" s="3157">
        <f t="shared" ref="W25:W46" si="14">J25</f>
        <v>100</v>
      </c>
      <c r="X25" s="909"/>
      <c r="Y25" s="4550"/>
      <c r="Z25" s="907" t="str">
        <f>Q25</f>
        <v>楼层-1</v>
      </c>
      <c r="AA25" s="907">
        <f t="shared" ref="AA25:AA46" si="15">D25/F25</f>
        <v>1</v>
      </c>
      <c r="AB25" s="907">
        <f t="shared" ref="AB25:AB46" si="16">D25/H25</f>
        <v>1</v>
      </c>
      <c r="AC25" s="907">
        <f t="shared" ref="AC25:AC46" si="17">D25/J25</f>
        <v>1</v>
      </c>
    </row>
    <row r="26" spans="1:29" ht="15.5">
      <c r="A26" s="254"/>
      <c r="B26" s="2789" t="s">
        <v>1600</v>
      </c>
      <c r="C26" s="2823"/>
      <c r="D26" s="2890">
        <v>100</v>
      </c>
      <c r="E26" s="2826"/>
      <c r="F26" s="3726">
        <f>SUMIF(88:88,E26,89:89)-SUMIF(88:88,C26,89:89)+100</f>
        <v>100</v>
      </c>
      <c r="G26" s="2869"/>
      <c r="H26" s="3726">
        <f>SUMIF(88:88,G26,89:89)-SUMIF(88:88,C26,89:89)+100</f>
        <v>100</v>
      </c>
      <c r="I26" s="2869"/>
      <c r="J26" s="3726">
        <f>SUMIF(88:88,I26,89:89)-SUMIF(88:88,C26,89:89)+100</f>
        <v>100</v>
      </c>
      <c r="K26" s="2803"/>
      <c r="L26" s="1980"/>
      <c r="M26" s="1975"/>
      <c r="N26" s="1975"/>
      <c r="O26" s="1975"/>
      <c r="P26" s="4557"/>
      <c r="Q26" s="1507" t="str">
        <f t="shared" si="11"/>
        <v>朝向</v>
      </c>
      <c r="R26" s="3736" t="s">
        <v>16</v>
      </c>
      <c r="S26" s="3157">
        <f t="shared" si="12"/>
        <v>100</v>
      </c>
      <c r="T26" s="3736" t="s">
        <v>16</v>
      </c>
      <c r="U26" s="3157">
        <f t="shared" si="13"/>
        <v>100</v>
      </c>
      <c r="V26" s="3736" t="s">
        <v>16</v>
      </c>
      <c r="W26" s="3157">
        <f t="shared" si="14"/>
        <v>100</v>
      </c>
      <c r="X26" s="909"/>
      <c r="Y26" s="4550"/>
      <c r="Z26" s="907" t="str">
        <f>Q26</f>
        <v>朝向</v>
      </c>
      <c r="AA26" s="907">
        <f t="shared" si="15"/>
        <v>1</v>
      </c>
      <c r="AB26" s="907">
        <f t="shared" si="16"/>
        <v>1</v>
      </c>
      <c r="AC26" s="907">
        <f t="shared" si="17"/>
        <v>1</v>
      </c>
    </row>
    <row r="27" spans="1:29" s="46" customFormat="1" ht="15.5">
      <c r="A27" s="257"/>
      <c r="B27" s="2800">
        <v>111</v>
      </c>
      <c r="C27" s="2816"/>
      <c r="D27" s="2896">
        <v>100</v>
      </c>
      <c r="E27" s="2866"/>
      <c r="F27" s="3727">
        <f>SUMIF(90:90,E27,91:91)-SUMIF(90:90,C27,91:91)+100</f>
        <v>100</v>
      </c>
      <c r="G27" s="2872"/>
      <c r="H27" s="3727">
        <f>SUMIF(90:90,G27,91:91)-SUMIF(90:90,C27,91:91)+100</f>
        <v>100</v>
      </c>
      <c r="I27" s="2872"/>
      <c r="J27" s="3727">
        <f>SUMIF(90:90,I27,91:91)-SUMIF(90:90,C27,91:91)+100</f>
        <v>100</v>
      </c>
      <c r="K27" s="2804"/>
      <c r="L27" s="1976"/>
      <c r="M27" s="1929"/>
      <c r="N27" s="1929"/>
      <c r="O27" s="1929"/>
      <c r="P27" s="4557"/>
      <c r="Q27" s="1698">
        <f t="shared" si="11"/>
        <v>111</v>
      </c>
      <c r="R27" s="3634" t="s">
        <v>16</v>
      </c>
      <c r="S27" s="3156">
        <f t="shared" si="12"/>
        <v>100</v>
      </c>
      <c r="T27" s="3634" t="s">
        <v>16</v>
      </c>
      <c r="U27" s="3156">
        <f t="shared" si="13"/>
        <v>100</v>
      </c>
      <c r="V27" s="3634" t="s">
        <v>16</v>
      </c>
      <c r="W27" s="3156">
        <f t="shared" si="14"/>
        <v>100</v>
      </c>
      <c r="X27" s="482"/>
      <c r="Y27" s="4550"/>
      <c r="Z27" s="28">
        <f>Q27</f>
        <v>111</v>
      </c>
      <c r="AA27" s="907">
        <f t="shared" si="15"/>
        <v>1</v>
      </c>
      <c r="AB27" s="907">
        <f t="shared" si="16"/>
        <v>1</v>
      </c>
      <c r="AC27" s="907">
        <f t="shared" si="17"/>
        <v>1</v>
      </c>
    </row>
    <row r="28" spans="1:29" ht="15.5">
      <c r="A28" s="254"/>
      <c r="B28" s="2800">
        <v>111</v>
      </c>
      <c r="C28" s="2817"/>
      <c r="D28" s="2890">
        <v>100</v>
      </c>
      <c r="E28" s="2817"/>
      <c r="F28" s="3726">
        <f>SUMIF(92:92,E28,93:93)-SUMIF(92:92,C28,93:93)+100</f>
        <v>100</v>
      </c>
      <c r="G28" s="2873"/>
      <c r="H28" s="3726">
        <f>SUMIF(92:92,G28,93:93)-SUMIF(92:92,C28,93:93)+100</f>
        <v>100</v>
      </c>
      <c r="I28" s="2817"/>
      <c r="J28" s="3726">
        <f>SUMIF(92:92,I28,93:93)-SUMIF(92:92,C28,93:93)+100</f>
        <v>100</v>
      </c>
      <c r="K28" s="2804"/>
      <c r="L28" s="1980"/>
      <c r="M28" s="1975"/>
      <c r="N28" s="1975"/>
      <c r="O28" s="1975"/>
      <c r="P28" s="4557"/>
      <c r="Q28" s="1507">
        <f t="shared" si="11"/>
        <v>111</v>
      </c>
      <c r="R28" s="3736" t="s">
        <v>16</v>
      </c>
      <c r="S28" s="3157">
        <f t="shared" si="12"/>
        <v>100</v>
      </c>
      <c r="T28" s="3736" t="s">
        <v>16</v>
      </c>
      <c r="U28" s="3157">
        <f t="shared" si="13"/>
        <v>100</v>
      </c>
      <c r="V28" s="3736" t="s">
        <v>16</v>
      </c>
      <c r="W28" s="3157">
        <f t="shared" si="14"/>
        <v>100</v>
      </c>
      <c r="X28" s="909"/>
      <c r="Y28" s="4550"/>
      <c r="Z28" s="907">
        <f t="shared" ref="Z28:Z46" si="18">Q28</f>
        <v>111</v>
      </c>
      <c r="AA28" s="907">
        <f t="shared" si="15"/>
        <v>1</v>
      </c>
      <c r="AB28" s="907">
        <f t="shared" si="16"/>
        <v>1</v>
      </c>
      <c r="AC28" s="907">
        <f t="shared" si="17"/>
        <v>1</v>
      </c>
    </row>
    <row r="29" spans="1:29" ht="15.5">
      <c r="A29" s="254"/>
      <c r="B29" s="2800">
        <v>111</v>
      </c>
      <c r="C29" s="2817"/>
      <c r="D29" s="2890">
        <v>100</v>
      </c>
      <c r="E29" s="2817"/>
      <c r="F29" s="3726">
        <f>SUMIF(94:94,E29,95:95)-SUMIF(94:94,C29,95:95)+100</f>
        <v>100</v>
      </c>
      <c r="G29" s="2873"/>
      <c r="H29" s="3726">
        <f>SUMIF(94:94,G29,95:95)-SUMIF(94:94,C29,95:95)+100</f>
        <v>100</v>
      </c>
      <c r="I29" s="2817"/>
      <c r="J29" s="3726">
        <f>SUMIF(94:94,I29,95:95)-SUMIF(94:94,C29,95:95)+100</f>
        <v>100</v>
      </c>
      <c r="K29" s="2804"/>
      <c r="L29" s="1980"/>
      <c r="M29" s="1975"/>
      <c r="N29" s="1975"/>
      <c r="O29" s="1975"/>
      <c r="P29" s="4557"/>
      <c r="Q29" s="1507">
        <f t="shared" si="11"/>
        <v>111</v>
      </c>
      <c r="R29" s="3736" t="s">
        <v>16</v>
      </c>
      <c r="S29" s="3157">
        <f t="shared" si="12"/>
        <v>100</v>
      </c>
      <c r="T29" s="3736" t="s">
        <v>16</v>
      </c>
      <c r="U29" s="3157">
        <f t="shared" si="13"/>
        <v>100</v>
      </c>
      <c r="V29" s="3736" t="s">
        <v>16</v>
      </c>
      <c r="W29" s="3157">
        <f t="shared" si="14"/>
        <v>100</v>
      </c>
      <c r="X29" s="909"/>
      <c r="Y29" s="4550"/>
      <c r="Z29" s="907">
        <f t="shared" si="18"/>
        <v>111</v>
      </c>
      <c r="AA29" s="907">
        <f t="shared" si="15"/>
        <v>1</v>
      </c>
      <c r="AB29" s="907">
        <f t="shared" si="16"/>
        <v>1</v>
      </c>
      <c r="AC29" s="907">
        <f t="shared" si="17"/>
        <v>1</v>
      </c>
    </row>
    <row r="30" spans="1:29" ht="15.5">
      <c r="A30" s="254"/>
      <c r="B30" s="2800">
        <v>111</v>
      </c>
      <c r="C30" s="2817"/>
      <c r="D30" s="2890">
        <v>100</v>
      </c>
      <c r="E30" s="2817"/>
      <c r="F30" s="3726">
        <f>SUMIF(96:96,E30,97:97)-SUMIF(96:96,C30,97:97)+100</f>
        <v>100</v>
      </c>
      <c r="G30" s="2873"/>
      <c r="H30" s="3726">
        <f>SUMIF(96:96,G30,97:97)-SUMIF(96:96,C30,97:97)+100</f>
        <v>100</v>
      </c>
      <c r="I30" s="2817"/>
      <c r="J30" s="3726">
        <f>SUMIF(96:96,I30,97:97)-SUMIF(96:96,C30,97:97)+100</f>
        <v>100</v>
      </c>
      <c r="K30" s="2804"/>
      <c r="L30" s="1980"/>
      <c r="M30" s="1975"/>
      <c r="N30" s="1975"/>
      <c r="O30" s="1975"/>
      <c r="P30" s="4557"/>
      <c r="Q30" s="1507">
        <f t="shared" si="11"/>
        <v>111</v>
      </c>
      <c r="R30" s="3736" t="s">
        <v>16</v>
      </c>
      <c r="S30" s="3157">
        <f t="shared" si="12"/>
        <v>100</v>
      </c>
      <c r="T30" s="3736" t="s">
        <v>16</v>
      </c>
      <c r="U30" s="3157">
        <f t="shared" si="13"/>
        <v>100</v>
      </c>
      <c r="V30" s="3736" t="s">
        <v>16</v>
      </c>
      <c r="W30" s="3157">
        <f t="shared" si="14"/>
        <v>100</v>
      </c>
      <c r="X30" s="909"/>
      <c r="Y30" s="4550"/>
      <c r="Z30" s="907">
        <f t="shared" si="18"/>
        <v>111</v>
      </c>
      <c r="AA30" s="907">
        <f t="shared" si="15"/>
        <v>1</v>
      </c>
      <c r="AB30" s="907">
        <f t="shared" si="16"/>
        <v>1</v>
      </c>
      <c r="AC30" s="907">
        <f t="shared" si="17"/>
        <v>1</v>
      </c>
    </row>
    <row r="31" spans="1:29" ht="16" thickBot="1">
      <c r="A31" s="260"/>
      <c r="B31" s="2800">
        <v>111</v>
      </c>
      <c r="C31" s="2818"/>
      <c r="D31" s="2891">
        <v>100</v>
      </c>
      <c r="E31" s="2818"/>
      <c r="F31" s="3728">
        <f>SUMIF(98:98,E31,99:99)-SUMIF(98:98,C31,99:99)+100</f>
        <v>100</v>
      </c>
      <c r="G31" s="2874"/>
      <c r="H31" s="3728">
        <f>SUMIF(98:98,G31,99:99)-SUMIF(98:98,C31,99:99)+100</f>
        <v>100</v>
      </c>
      <c r="I31" s="2818"/>
      <c r="J31" s="3728">
        <f>SUMIF(98:98,I31,99:99)-SUMIF(98:98,C31,99:99)+100</f>
        <v>100</v>
      </c>
      <c r="K31" s="2804"/>
      <c r="L31" s="1980"/>
      <c r="M31" s="1975"/>
      <c r="N31" s="1975"/>
      <c r="O31" s="1975"/>
      <c r="P31" s="4557"/>
      <c r="Q31" s="1507">
        <f t="shared" si="11"/>
        <v>111</v>
      </c>
      <c r="R31" s="3736" t="s">
        <v>16</v>
      </c>
      <c r="S31" s="3157">
        <f t="shared" si="12"/>
        <v>100</v>
      </c>
      <c r="T31" s="3736" t="s">
        <v>16</v>
      </c>
      <c r="U31" s="3157">
        <f t="shared" si="13"/>
        <v>100</v>
      </c>
      <c r="V31" s="3736" t="s">
        <v>16</v>
      </c>
      <c r="W31" s="3157">
        <f t="shared" si="14"/>
        <v>100</v>
      </c>
      <c r="X31" s="909"/>
      <c r="Y31" s="4550"/>
      <c r="Z31" s="907">
        <f t="shared" si="18"/>
        <v>111</v>
      </c>
      <c r="AA31" s="907">
        <f t="shared" si="15"/>
        <v>1</v>
      </c>
      <c r="AB31" s="907">
        <f t="shared" si="16"/>
        <v>1</v>
      </c>
      <c r="AC31" s="907">
        <f t="shared" si="17"/>
        <v>1</v>
      </c>
    </row>
    <row r="32" spans="1:29" ht="15.5">
      <c r="A32" s="262" t="s">
        <v>1601</v>
      </c>
      <c r="B32" s="2792" t="s">
        <v>1602</v>
      </c>
      <c r="C32" s="2824"/>
      <c r="D32" s="2897">
        <v>100</v>
      </c>
      <c r="E32" s="2867"/>
      <c r="F32" s="3729">
        <f>SUMIF(100:100,E32,101:101)-SUMIF(100:100,C32,101:101)+100</f>
        <v>100</v>
      </c>
      <c r="G32" s="2824"/>
      <c r="H32" s="3733">
        <f>SUMIF(100:100,G32,101:101)-SUMIF(100:100,C32,101:101)+100</f>
        <v>100</v>
      </c>
      <c r="I32" s="2867"/>
      <c r="J32" s="3726">
        <f>SUMIF(100:100,I32,101:101)-SUMIF(100:100,C32,101:101)+100</f>
        <v>100</v>
      </c>
      <c r="K32" s="2803"/>
      <c r="L32" s="1980"/>
      <c r="M32" s="1975"/>
      <c r="N32" s="1975"/>
      <c r="O32" s="1975"/>
      <c r="P32" s="4551" t="s">
        <v>1603</v>
      </c>
      <c r="Q32" s="1507" t="str">
        <f t="shared" si="11"/>
        <v>建筑类型</v>
      </c>
      <c r="R32" s="3736" t="s">
        <v>16</v>
      </c>
      <c r="S32" s="3157">
        <f t="shared" si="12"/>
        <v>100</v>
      </c>
      <c r="T32" s="3736" t="s">
        <v>16</v>
      </c>
      <c r="U32" s="3157">
        <f t="shared" si="13"/>
        <v>100</v>
      </c>
      <c r="V32" s="3736" t="s">
        <v>16</v>
      </c>
      <c r="W32" s="3157">
        <f t="shared" si="14"/>
        <v>100</v>
      </c>
      <c r="X32" s="909"/>
      <c r="Y32" s="4554" t="s">
        <v>1603</v>
      </c>
      <c r="Z32" s="907" t="str">
        <f t="shared" si="18"/>
        <v>建筑类型</v>
      </c>
      <c r="AA32" s="907">
        <f t="shared" si="15"/>
        <v>1</v>
      </c>
      <c r="AB32" s="907">
        <f t="shared" si="16"/>
        <v>1</v>
      </c>
      <c r="AC32" s="907">
        <f t="shared" si="17"/>
        <v>1</v>
      </c>
    </row>
    <row r="33" spans="1:29" s="279" customFormat="1" ht="15.5">
      <c r="A33" s="277"/>
      <c r="B33" s="2789" t="s">
        <v>1604</v>
      </c>
      <c r="C33" s="2882"/>
      <c r="D33" s="2888">
        <v>100</v>
      </c>
      <c r="E33" s="2842"/>
      <c r="F33" s="3720" t="e">
        <f>LOOKUP(E33,103:103,104:104)-LOOKUP(C33,103:103,104:104)+100</f>
        <v>#N/A</v>
      </c>
      <c r="G33" s="2814"/>
      <c r="H33" s="3732" t="e">
        <f>LOOKUP(G33,103:103,104:104)-LOOKUP(C33,103:103,104:104)+100</f>
        <v>#N/A</v>
      </c>
      <c r="I33" s="2842"/>
      <c r="J33" s="3732" t="e">
        <f>LOOKUP(I33,103:103,104:104)-LOOKUP(C33,103:103,104:104)+100</f>
        <v>#N/A</v>
      </c>
      <c r="K33" s="2804"/>
      <c r="L33" s="1979"/>
      <c r="M33" s="1981"/>
      <c r="N33" s="1981"/>
      <c r="O33" s="1981"/>
      <c r="P33" s="4552"/>
      <c r="Q33" s="2864" t="str">
        <f t="shared" si="11"/>
        <v>项目建筑规模</v>
      </c>
      <c r="R33" s="3737" t="s">
        <v>16</v>
      </c>
      <c r="S33" s="3158" t="e">
        <f t="shared" si="12"/>
        <v>#N/A</v>
      </c>
      <c r="T33" s="3737" t="s">
        <v>16</v>
      </c>
      <c r="U33" s="3158" t="e">
        <f t="shared" si="13"/>
        <v>#N/A</v>
      </c>
      <c r="V33" s="3737" t="s">
        <v>16</v>
      </c>
      <c r="W33" s="3158" t="e">
        <f t="shared" si="14"/>
        <v>#N/A</v>
      </c>
      <c r="X33" s="484"/>
      <c r="Y33" s="4554"/>
      <c r="Z33" s="485" t="str">
        <f t="shared" si="18"/>
        <v>项目建筑规模</v>
      </c>
      <c r="AA33" s="907" t="e">
        <f t="shared" si="15"/>
        <v>#N/A</v>
      </c>
      <c r="AB33" s="907" t="e">
        <f t="shared" si="16"/>
        <v>#N/A</v>
      </c>
      <c r="AC33" s="907" t="e">
        <f t="shared" si="17"/>
        <v>#N/A</v>
      </c>
    </row>
    <row r="34" spans="1:29" ht="15.5">
      <c r="A34" s="280"/>
      <c r="B34" s="2789" t="s">
        <v>1605</v>
      </c>
      <c r="C34" s="2823"/>
      <c r="D34" s="2890">
        <v>100</v>
      </c>
      <c r="E34" s="2868"/>
      <c r="F34" s="3729">
        <f>SUMIF(105:105,E34,106:106)-SUMIF(105:105,C34,106:106)+100</f>
        <v>100</v>
      </c>
      <c r="G34" s="2823"/>
      <c r="H34" s="3726">
        <f>SUMIF(105:105,G34,106:106)-SUMIF(105:105,C34,106:106)+100</f>
        <v>100</v>
      </c>
      <c r="I34" s="2868"/>
      <c r="J34" s="3726">
        <f>SUMIF(105:105,I34,106:106)-SUMIF(105:105,C34,106:106)+100</f>
        <v>100</v>
      </c>
      <c r="K34" s="2803"/>
      <c r="L34" s="1980"/>
      <c r="M34" s="1975"/>
      <c r="N34" s="1975"/>
      <c r="O34" s="1975"/>
      <c r="P34" s="4552"/>
      <c r="Q34" s="1507" t="str">
        <f t="shared" si="11"/>
        <v>建筑结构</v>
      </c>
      <c r="R34" s="3736" t="s">
        <v>16</v>
      </c>
      <c r="S34" s="3157">
        <f t="shared" si="12"/>
        <v>100</v>
      </c>
      <c r="T34" s="3736" t="s">
        <v>16</v>
      </c>
      <c r="U34" s="3157">
        <f t="shared" si="13"/>
        <v>100</v>
      </c>
      <c r="V34" s="3736" t="s">
        <v>16</v>
      </c>
      <c r="W34" s="3157">
        <f t="shared" si="14"/>
        <v>100</v>
      </c>
      <c r="X34" s="909"/>
      <c r="Y34" s="4554"/>
      <c r="Z34" s="907" t="str">
        <f t="shared" si="18"/>
        <v>建筑结构</v>
      </c>
      <c r="AA34" s="907">
        <f t="shared" si="15"/>
        <v>1</v>
      </c>
      <c r="AB34" s="907">
        <f t="shared" si="16"/>
        <v>1</v>
      </c>
      <c r="AC34" s="907">
        <f t="shared" si="17"/>
        <v>1</v>
      </c>
    </row>
    <row r="35" spans="1:29" ht="15.5">
      <c r="A35" s="280"/>
      <c r="B35" s="2789" t="s">
        <v>1606</v>
      </c>
      <c r="C35" s="2826"/>
      <c r="D35" s="2890">
        <v>100</v>
      </c>
      <c r="E35" s="2869"/>
      <c r="F35" s="3729">
        <f>SUMIF(107:107,E35,108:108)-SUMIF(107:107,C35,108:108)+100</f>
        <v>100</v>
      </c>
      <c r="G35" s="2826"/>
      <c r="H35" s="3726">
        <f>SUMIF(107:107,G35,108:108)-SUMIF(107:107,C35,108:108)+100</f>
        <v>100</v>
      </c>
      <c r="I35" s="2869"/>
      <c r="J35" s="3726">
        <f>SUMIF(107:107,I35,108:108)-SUMIF(107:107,C35,108:108)+100</f>
        <v>100</v>
      </c>
      <c r="K35" s="2803"/>
      <c r="L35" s="1980"/>
      <c r="M35" s="1975"/>
      <c r="N35" s="1975"/>
      <c r="O35" s="1975"/>
      <c r="P35" s="4552"/>
      <c r="Q35" s="1507" t="str">
        <f t="shared" si="11"/>
        <v>建筑品质</v>
      </c>
      <c r="R35" s="3736" t="s">
        <v>16</v>
      </c>
      <c r="S35" s="3157">
        <f t="shared" si="12"/>
        <v>100</v>
      </c>
      <c r="T35" s="3736" t="s">
        <v>16</v>
      </c>
      <c r="U35" s="3157">
        <f t="shared" si="13"/>
        <v>100</v>
      </c>
      <c r="V35" s="3736" t="s">
        <v>16</v>
      </c>
      <c r="W35" s="3157">
        <f t="shared" si="14"/>
        <v>100</v>
      </c>
      <c r="X35" s="909"/>
      <c r="Y35" s="4554"/>
      <c r="Z35" s="907" t="str">
        <f t="shared" si="18"/>
        <v>建筑品质</v>
      </c>
      <c r="AA35" s="907">
        <f t="shared" si="15"/>
        <v>1</v>
      </c>
      <c r="AB35" s="907">
        <f t="shared" si="16"/>
        <v>1</v>
      </c>
      <c r="AC35" s="907">
        <f t="shared" si="17"/>
        <v>1</v>
      </c>
    </row>
    <row r="36" spans="1:29" ht="15.5">
      <c r="A36" s="280"/>
      <c r="B36" s="2789" t="s">
        <v>1607</v>
      </c>
      <c r="C36" s="2826"/>
      <c r="D36" s="2890">
        <v>100</v>
      </c>
      <c r="E36" s="2869"/>
      <c r="F36" s="3729">
        <f>SUMIF(109:109,E36,110:110)-SUMIF(109:109,C36,110:110)+100</f>
        <v>100</v>
      </c>
      <c r="G36" s="2826"/>
      <c r="H36" s="3726">
        <f>SUMIF(109:109,G36,110:110)-SUMIF(109:109,C36,110:110)+100</f>
        <v>100</v>
      </c>
      <c r="I36" s="2869"/>
      <c r="J36" s="3726">
        <f>SUMIF(109:109,I36,110:110)-SUMIF(109:109,C36,110:110)+100</f>
        <v>100</v>
      </c>
      <c r="K36" s="2803"/>
      <c r="L36" s="1980"/>
      <c r="M36" s="1975"/>
      <c r="N36" s="1975"/>
      <c r="O36" s="1975"/>
      <c r="P36" s="4552"/>
      <c r="Q36" s="1507" t="str">
        <f t="shared" si="11"/>
        <v>公共部分装修</v>
      </c>
      <c r="R36" s="3736" t="s">
        <v>16</v>
      </c>
      <c r="S36" s="3157">
        <f t="shared" si="12"/>
        <v>100</v>
      </c>
      <c r="T36" s="3736" t="s">
        <v>16</v>
      </c>
      <c r="U36" s="3157">
        <f t="shared" si="13"/>
        <v>100</v>
      </c>
      <c r="V36" s="3736" t="s">
        <v>16</v>
      </c>
      <c r="W36" s="3157">
        <f t="shared" si="14"/>
        <v>100</v>
      </c>
      <c r="X36" s="909"/>
      <c r="Y36" s="4554"/>
      <c r="Z36" s="907" t="str">
        <f t="shared" si="18"/>
        <v>公共部分装修</v>
      </c>
      <c r="AA36" s="907">
        <f t="shared" si="15"/>
        <v>1</v>
      </c>
      <c r="AB36" s="907">
        <f t="shared" si="16"/>
        <v>1</v>
      </c>
      <c r="AC36" s="907">
        <f t="shared" si="17"/>
        <v>1</v>
      </c>
    </row>
    <row r="37" spans="1:29" s="46" customFormat="1" ht="15.5">
      <c r="A37" s="281"/>
      <c r="B37" s="2789" t="s">
        <v>1608</v>
      </c>
      <c r="C37" s="2827"/>
      <c r="D37" s="2888">
        <v>100</v>
      </c>
      <c r="E37" s="2827"/>
      <c r="F37" s="3720" t="e">
        <f>LOOKUP(E37,112:112,113:113)-LOOKUP(C37,112:112,113:113)+100</f>
        <v>#N/A</v>
      </c>
      <c r="G37" s="2875"/>
      <c r="H37" s="3732" t="e">
        <f>LOOKUP(G37,112:112,113:113)-LOOKUP(C37,112:112,113:113)+100</f>
        <v>#N/A</v>
      </c>
      <c r="I37" s="2876"/>
      <c r="J37" s="3732" t="e">
        <f>LOOKUP(I37,112:112,113:113)-LOOKUP(C37,112:112,113:113)+100</f>
        <v>#N/A</v>
      </c>
      <c r="K37" s="2803"/>
      <c r="L37" s="1976"/>
      <c r="M37" s="1929"/>
      <c r="N37" s="1929"/>
      <c r="O37" s="1929"/>
      <c r="P37" s="4552"/>
      <c r="Q37" s="1698" t="str">
        <f t="shared" si="11"/>
        <v>成新度</v>
      </c>
      <c r="R37" s="3634" t="s">
        <v>16</v>
      </c>
      <c r="S37" s="3156" t="e">
        <f t="shared" si="12"/>
        <v>#N/A</v>
      </c>
      <c r="T37" s="3634" t="s">
        <v>16</v>
      </c>
      <c r="U37" s="3156" t="e">
        <f t="shared" si="13"/>
        <v>#N/A</v>
      </c>
      <c r="V37" s="3634" t="s">
        <v>16</v>
      </c>
      <c r="W37" s="3156" t="e">
        <f t="shared" si="14"/>
        <v>#N/A</v>
      </c>
      <c r="X37" s="482"/>
      <c r="Y37" s="4554"/>
      <c r="Z37" s="28" t="str">
        <f t="shared" si="18"/>
        <v>成新度</v>
      </c>
      <c r="AA37" s="28" t="e">
        <f t="shared" si="15"/>
        <v>#N/A</v>
      </c>
      <c r="AB37" s="28" t="e">
        <f t="shared" si="16"/>
        <v>#N/A</v>
      </c>
      <c r="AC37" s="28" t="e">
        <f t="shared" si="17"/>
        <v>#N/A</v>
      </c>
    </row>
    <row r="38" spans="1:29" ht="15.5">
      <c r="A38" s="280"/>
      <c r="B38" s="2789" t="s">
        <v>1609</v>
      </c>
      <c r="C38" s="2826"/>
      <c r="D38" s="2890">
        <v>100</v>
      </c>
      <c r="E38" s="2869"/>
      <c r="F38" s="3729">
        <f>SUMIF(114:114,E38,115:115)-SUMIF(114:114,C38,115:115)+100</f>
        <v>100</v>
      </c>
      <c r="G38" s="2826"/>
      <c r="H38" s="3726">
        <f>SUMIF(114:114,G38,115:115)-SUMIF(114:114,C38,115:115)+100</f>
        <v>100</v>
      </c>
      <c r="I38" s="2869"/>
      <c r="J38" s="3726">
        <f>SUMIF(114:114,I38,115:115)-SUMIF(114:114,C38,115:115)+100</f>
        <v>100</v>
      </c>
      <c r="K38" s="2803"/>
      <c r="L38" s="1980"/>
      <c r="M38" s="1975"/>
      <c r="N38" s="1975"/>
      <c r="O38" s="1975"/>
      <c r="P38" s="4552" t="s">
        <v>1603</v>
      </c>
      <c r="Q38" s="1507" t="str">
        <f t="shared" si="11"/>
        <v>物业管理</v>
      </c>
      <c r="R38" s="3736" t="s">
        <v>16</v>
      </c>
      <c r="S38" s="3157">
        <f t="shared" si="12"/>
        <v>100</v>
      </c>
      <c r="T38" s="3736" t="s">
        <v>16</v>
      </c>
      <c r="U38" s="3157">
        <f t="shared" si="13"/>
        <v>100</v>
      </c>
      <c r="V38" s="3736" t="s">
        <v>16</v>
      </c>
      <c r="W38" s="3157">
        <f t="shared" si="14"/>
        <v>100</v>
      </c>
      <c r="X38" s="909"/>
      <c r="Y38" s="4554" t="s">
        <v>1603</v>
      </c>
      <c r="Z38" s="907" t="str">
        <f t="shared" si="18"/>
        <v>物业管理</v>
      </c>
      <c r="AA38" s="907">
        <f t="shared" si="15"/>
        <v>1</v>
      </c>
      <c r="AB38" s="907">
        <f t="shared" si="16"/>
        <v>1</v>
      </c>
      <c r="AC38" s="907">
        <f t="shared" si="17"/>
        <v>1</v>
      </c>
    </row>
    <row r="39" spans="1:29" ht="15.5">
      <c r="A39" s="280"/>
      <c r="B39" s="2789" t="s">
        <v>1610</v>
      </c>
      <c r="C39" s="2826"/>
      <c r="D39" s="2890">
        <v>100</v>
      </c>
      <c r="E39" s="2869"/>
      <c r="F39" s="3729">
        <f>SUMIF(116:116,E39,117:117)-SUMIF(116:116,C39,117:117)+100</f>
        <v>100</v>
      </c>
      <c r="G39" s="2826"/>
      <c r="H39" s="3726">
        <f>SUMIF(116:116,G39,117:117)-SUMIF(116:116,C39,117:117)+100</f>
        <v>100</v>
      </c>
      <c r="I39" s="2869"/>
      <c r="J39" s="3726">
        <f>SUMIF(116:116,I39,117:117)-SUMIF(116:116,C39,117:117)+100</f>
        <v>100</v>
      </c>
      <c r="K39" s="2803"/>
      <c r="L39" s="1980"/>
      <c r="M39" s="1975"/>
      <c r="N39" s="1975"/>
      <c r="O39" s="1975"/>
      <c r="P39" s="4552"/>
      <c r="Q39" s="1507" t="str">
        <f t="shared" si="11"/>
        <v>市政基础设施</v>
      </c>
      <c r="R39" s="3736" t="s">
        <v>16</v>
      </c>
      <c r="S39" s="3157">
        <f t="shared" si="12"/>
        <v>100</v>
      </c>
      <c r="T39" s="3736" t="s">
        <v>16</v>
      </c>
      <c r="U39" s="3157">
        <f t="shared" si="13"/>
        <v>100</v>
      </c>
      <c r="V39" s="3736" t="s">
        <v>16</v>
      </c>
      <c r="W39" s="3157">
        <f t="shared" si="14"/>
        <v>100</v>
      </c>
      <c r="X39" s="909"/>
      <c r="Y39" s="4554"/>
      <c r="Z39" s="907" t="str">
        <f t="shared" si="18"/>
        <v>市政基础设施</v>
      </c>
      <c r="AA39" s="907">
        <f t="shared" si="15"/>
        <v>1</v>
      </c>
      <c r="AB39" s="907">
        <f t="shared" si="16"/>
        <v>1</v>
      </c>
      <c r="AC39" s="907">
        <f t="shared" si="17"/>
        <v>1</v>
      </c>
    </row>
    <row r="40" spans="1:29" ht="15.5">
      <c r="A40" s="280"/>
      <c r="B40" s="2789" t="s">
        <v>1611</v>
      </c>
      <c r="C40" s="2826"/>
      <c r="D40" s="2890">
        <v>100</v>
      </c>
      <c r="E40" s="2869"/>
      <c r="F40" s="3729">
        <f>SUMIF(118:118,E40,119:119)-SUMIF(118:118,C40,119:119)+100</f>
        <v>100</v>
      </c>
      <c r="G40" s="2826"/>
      <c r="H40" s="3726">
        <f>SUMIF(118:118,G40,119:119)-SUMIF(118:118,C40,119:119)+100</f>
        <v>100</v>
      </c>
      <c r="I40" s="2869"/>
      <c r="J40" s="3726">
        <f>SUMIF(118:118,I40,119:119)-SUMIF(118:118,C40,119:119)+100</f>
        <v>100</v>
      </c>
      <c r="K40" s="2803"/>
      <c r="L40" s="1980"/>
      <c r="M40" s="1975"/>
      <c r="N40" s="1975"/>
      <c r="O40" s="1975"/>
      <c r="P40" s="4552"/>
      <c r="Q40" s="1507" t="str">
        <f t="shared" si="11"/>
        <v>房型</v>
      </c>
      <c r="R40" s="3736" t="s">
        <v>16</v>
      </c>
      <c r="S40" s="3157">
        <f t="shared" si="12"/>
        <v>100</v>
      </c>
      <c r="T40" s="3736" t="s">
        <v>16</v>
      </c>
      <c r="U40" s="3157">
        <f t="shared" si="13"/>
        <v>100</v>
      </c>
      <c r="V40" s="3736" t="s">
        <v>16</v>
      </c>
      <c r="W40" s="3157">
        <f t="shared" si="14"/>
        <v>100</v>
      </c>
      <c r="X40" s="909"/>
      <c r="Y40" s="4554"/>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20">
        <f>SUMIF(120:120,E41,121:121)-SUMIF(120:120,C41,121:121)+100</f>
        <v>100</v>
      </c>
      <c r="G41" s="2814"/>
      <c r="H41" s="3732">
        <f>SUMIF(120:120,G41,121:121)-SUMIF(120:120,C41,121:121)+100</f>
        <v>100</v>
      </c>
      <c r="I41" s="2883"/>
      <c r="J41" s="3726">
        <f>SUMIF(120:120,I41,121:121)-SUMIF(120:120,C41,121:121)+100</f>
        <v>100</v>
      </c>
      <c r="K41" s="2804"/>
      <c r="L41" s="1979"/>
      <c r="M41" s="1981"/>
      <c r="N41" s="1981"/>
      <c r="O41" s="1981"/>
      <c r="P41" s="4552"/>
      <c r="Q41" s="2864" t="str">
        <f t="shared" si="11"/>
        <v>单套/主力户型建筑面积</v>
      </c>
      <c r="R41" s="3737" t="s">
        <v>16</v>
      </c>
      <c r="S41" s="3158">
        <f t="shared" si="12"/>
        <v>100</v>
      </c>
      <c r="T41" s="3737" t="s">
        <v>16</v>
      </c>
      <c r="U41" s="3158">
        <f t="shared" si="13"/>
        <v>100</v>
      </c>
      <c r="V41" s="3737" t="s">
        <v>16</v>
      </c>
      <c r="W41" s="3158">
        <f t="shared" si="14"/>
        <v>100</v>
      </c>
      <c r="X41" s="484"/>
      <c r="Y41" s="4554"/>
      <c r="Z41" s="485" t="str">
        <f t="shared" si="18"/>
        <v>单套/主力户型建筑面积</v>
      </c>
      <c r="AA41" s="907">
        <f t="shared" si="15"/>
        <v>1</v>
      </c>
      <c r="AB41" s="907">
        <f t="shared" si="16"/>
        <v>1</v>
      </c>
      <c r="AC41" s="907">
        <f t="shared" si="17"/>
        <v>1</v>
      </c>
    </row>
    <row r="42" spans="1:29" ht="15.5">
      <c r="A42" s="280"/>
      <c r="B42" s="2789" t="s">
        <v>1613</v>
      </c>
      <c r="C42" s="2826"/>
      <c r="D42" s="2890">
        <v>100</v>
      </c>
      <c r="E42" s="2869"/>
      <c r="F42" s="3729">
        <f>SUMIF(122:122,E42,123:123)-SUMIF(122:122,C42,123:123)+100</f>
        <v>100</v>
      </c>
      <c r="G42" s="2826"/>
      <c r="H42" s="3726">
        <f>SUMIF(122:122,G42,123:123)-SUMIF(122:122,C42,123:123)+100</f>
        <v>100</v>
      </c>
      <c r="I42" s="2869"/>
      <c r="J42" s="3726">
        <f>SUMIF(122:122,I42,123:123)-SUMIF(122:122,C42,123:123)+100</f>
        <v>100</v>
      </c>
      <c r="K42" s="2803"/>
      <c r="L42" s="1980"/>
      <c r="M42" s="1975"/>
      <c r="N42" s="1975"/>
      <c r="O42" s="1975"/>
      <c r="P42" s="4552"/>
      <c r="Q42" s="1507" t="str">
        <f t="shared" si="11"/>
        <v>内部装修</v>
      </c>
      <c r="R42" s="3736" t="s">
        <v>16</v>
      </c>
      <c r="S42" s="3157">
        <f t="shared" si="12"/>
        <v>100</v>
      </c>
      <c r="T42" s="3736" t="s">
        <v>16</v>
      </c>
      <c r="U42" s="3157">
        <f t="shared" si="13"/>
        <v>100</v>
      </c>
      <c r="V42" s="3736" t="s">
        <v>16</v>
      </c>
      <c r="W42" s="3157">
        <f t="shared" si="14"/>
        <v>100</v>
      </c>
      <c r="X42" s="909"/>
      <c r="Y42" s="4554"/>
      <c r="Z42" s="907" t="str">
        <f t="shared" si="18"/>
        <v>内部装修</v>
      </c>
      <c r="AA42" s="907">
        <f t="shared" si="15"/>
        <v>1</v>
      </c>
      <c r="AB42" s="907">
        <f t="shared" si="16"/>
        <v>1</v>
      </c>
      <c r="AC42" s="907">
        <f t="shared" si="17"/>
        <v>1</v>
      </c>
    </row>
    <row r="43" spans="1:29" ht="28">
      <c r="A43" s="280"/>
      <c r="B43" s="2789" t="s">
        <v>1614</v>
      </c>
      <c r="C43" s="2826"/>
      <c r="D43" s="2890">
        <v>100</v>
      </c>
      <c r="E43" s="2869"/>
      <c r="F43" s="3729">
        <f>SUMIF(124:124,E43,125:125)-SUMIF(124:124,C43,125:125)+100</f>
        <v>100</v>
      </c>
      <c r="G43" s="2826"/>
      <c r="H43" s="3726">
        <f>SUMIF(124:124,G43,125:125)-SUMIF(124:124,C43,125:125)+100</f>
        <v>100</v>
      </c>
      <c r="I43" s="2869"/>
      <c r="J43" s="3726">
        <f>SUMIF(124:124,I43,125:125)-SUMIF(124:124,C43,125:125)+100</f>
        <v>100</v>
      </c>
      <c r="K43" s="2803"/>
      <c r="L43" s="1980"/>
      <c r="M43" s="1975"/>
      <c r="N43" s="1975"/>
      <c r="O43" s="1975"/>
      <c r="P43" s="4552"/>
      <c r="Q43" s="1507" t="str">
        <f t="shared" si="11"/>
        <v>内部装修维护情况</v>
      </c>
      <c r="R43" s="3736" t="s">
        <v>16</v>
      </c>
      <c r="S43" s="3157">
        <f t="shared" si="12"/>
        <v>100</v>
      </c>
      <c r="T43" s="3736" t="s">
        <v>16</v>
      </c>
      <c r="U43" s="3157">
        <f t="shared" si="13"/>
        <v>100</v>
      </c>
      <c r="V43" s="3736" t="s">
        <v>16</v>
      </c>
      <c r="W43" s="3157">
        <f t="shared" si="14"/>
        <v>100</v>
      </c>
      <c r="X43" s="909"/>
      <c r="Y43" s="4554"/>
      <c r="Z43" s="907" t="str">
        <f t="shared" si="18"/>
        <v>内部装修维护情况</v>
      </c>
      <c r="AA43" s="907">
        <f t="shared" si="15"/>
        <v>1</v>
      </c>
      <c r="AB43" s="907">
        <f t="shared" si="16"/>
        <v>1</v>
      </c>
      <c r="AC43" s="907">
        <f t="shared" si="17"/>
        <v>1</v>
      </c>
    </row>
    <row r="44" spans="1:29" s="46" customFormat="1" ht="15.5">
      <c r="A44" s="281"/>
      <c r="B44" s="2800">
        <v>111</v>
      </c>
      <c r="C44" s="2825"/>
      <c r="D44" s="2888">
        <v>100</v>
      </c>
      <c r="E44" s="2825"/>
      <c r="F44" s="3720">
        <f>SUMIF(126:126,E44,127:127)-SUMIF(126:126,C44,127:127)+100</f>
        <v>100</v>
      </c>
      <c r="G44" s="2825"/>
      <c r="H44" s="3732">
        <f>SUMIF(126:126,G44,127:127)-SUMIF(126:126,C44,127:127)+100</f>
        <v>100</v>
      </c>
      <c r="I44" s="2825"/>
      <c r="J44" s="3732">
        <f>SUMIF(126:126,I44,127:127)-SUMIF(126:126,C44,127:127)+100</f>
        <v>100</v>
      </c>
      <c r="K44" s="2804"/>
      <c r="L44" s="1976"/>
      <c r="M44" s="1929"/>
      <c r="N44" s="1929"/>
      <c r="O44" s="1929"/>
      <c r="P44" s="4552"/>
      <c r="Q44" s="1698">
        <f t="shared" si="11"/>
        <v>111</v>
      </c>
      <c r="R44" s="3634" t="s">
        <v>16</v>
      </c>
      <c r="S44" s="3156">
        <f t="shared" si="12"/>
        <v>100</v>
      </c>
      <c r="T44" s="3634" t="s">
        <v>16</v>
      </c>
      <c r="U44" s="3156">
        <f t="shared" si="13"/>
        <v>100</v>
      </c>
      <c r="V44" s="3634" t="s">
        <v>16</v>
      </c>
      <c r="W44" s="3156">
        <f t="shared" si="14"/>
        <v>100</v>
      </c>
      <c r="X44" s="482"/>
      <c r="Y44" s="4554"/>
      <c r="Z44" s="28">
        <f t="shared" si="18"/>
        <v>111</v>
      </c>
      <c r="AA44" s="28">
        <f t="shared" si="15"/>
        <v>1</v>
      </c>
      <c r="AB44" s="28">
        <f t="shared" si="16"/>
        <v>1</v>
      </c>
      <c r="AC44" s="28">
        <f t="shared" si="17"/>
        <v>1</v>
      </c>
    </row>
    <row r="45" spans="1:29" ht="15.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04"/>
      <c r="L45" s="1980"/>
      <c r="M45" s="1975"/>
      <c r="N45" s="1975"/>
      <c r="O45" s="1975"/>
      <c r="P45" s="4552"/>
      <c r="Q45" s="1507">
        <f t="shared" si="11"/>
        <v>111</v>
      </c>
      <c r="R45" s="3736" t="s">
        <v>16</v>
      </c>
      <c r="S45" s="3157">
        <f t="shared" si="12"/>
        <v>100</v>
      </c>
      <c r="T45" s="3736" t="s">
        <v>16</v>
      </c>
      <c r="U45" s="3157">
        <f t="shared" si="13"/>
        <v>100</v>
      </c>
      <c r="V45" s="3736" t="s">
        <v>16</v>
      </c>
      <c r="W45" s="3157">
        <f t="shared" si="14"/>
        <v>100</v>
      </c>
      <c r="X45" s="909"/>
      <c r="Y45" s="4554"/>
      <c r="Z45" s="907">
        <f t="shared" si="18"/>
        <v>111</v>
      </c>
      <c r="AA45" s="907">
        <f t="shared" si="15"/>
        <v>1</v>
      </c>
      <c r="AB45" s="907">
        <f t="shared" si="16"/>
        <v>1</v>
      </c>
      <c r="AC45" s="907">
        <f t="shared" si="17"/>
        <v>1</v>
      </c>
    </row>
    <row r="46" spans="1:29" ht="16" thickBot="1">
      <c r="A46" s="285"/>
      <c r="B46" s="2794">
        <v>111</v>
      </c>
      <c r="C46" s="2818"/>
      <c r="D46" s="2891">
        <v>100</v>
      </c>
      <c r="E46" s="2818"/>
      <c r="F46" s="3721">
        <f>SUMIF(130:130,E46,131:131)-SUMIF(130:130,C46,131:131)+100</f>
        <v>100</v>
      </c>
      <c r="G46" s="2818"/>
      <c r="H46" s="3728">
        <f>SUMIF(130:130,G46,131:131)-SUMIF(130:130,C46,131:131)+100</f>
        <v>100</v>
      </c>
      <c r="I46" s="2818"/>
      <c r="J46" s="3728">
        <f>SUMIF(130:130,I46,131:131)-SUMIF(130:130,C46,131:131)+100</f>
        <v>100</v>
      </c>
      <c r="K46" s="2804"/>
      <c r="L46" s="1980"/>
      <c r="M46" s="1975"/>
      <c r="N46" s="1975"/>
      <c r="O46" s="1975"/>
      <c r="P46" s="4553"/>
      <c r="Q46" s="1507">
        <f t="shared" si="11"/>
        <v>111</v>
      </c>
      <c r="R46" s="3736" t="s">
        <v>15</v>
      </c>
      <c r="S46" s="3157">
        <f t="shared" si="12"/>
        <v>100</v>
      </c>
      <c r="T46" s="3736" t="s">
        <v>15</v>
      </c>
      <c r="U46" s="3157">
        <f t="shared" si="13"/>
        <v>100</v>
      </c>
      <c r="V46" s="3736" t="s">
        <v>15</v>
      </c>
      <c r="W46" s="3157">
        <f t="shared" si="14"/>
        <v>100</v>
      </c>
      <c r="X46" s="909"/>
      <c r="Y46" s="4555"/>
      <c r="Z46" s="907">
        <f t="shared" si="18"/>
        <v>111</v>
      </c>
      <c r="AA46" s="907">
        <f t="shared" si="15"/>
        <v>1</v>
      </c>
      <c r="AB46" s="907">
        <f t="shared" si="16"/>
        <v>1</v>
      </c>
      <c r="AC46" s="907">
        <f t="shared" si="17"/>
        <v>1</v>
      </c>
    </row>
    <row r="47" spans="1:29">
      <c r="A47" s="286" t="s">
        <v>1615</v>
      </c>
      <c r="B47" s="287"/>
      <c r="C47" s="765" t="s">
        <v>14</v>
      </c>
      <c r="D47" s="288"/>
      <c r="E47" s="3205"/>
      <c r="F47" s="766"/>
      <c r="G47" s="3206"/>
      <c r="H47" s="767"/>
      <c r="I47" s="3205"/>
      <c r="J47" s="767"/>
      <c r="K47" s="2808"/>
      <c r="L47" s="1982"/>
      <c r="M47" s="1975"/>
      <c r="N47" s="1975"/>
      <c r="O47" s="1975"/>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4.5" thickBot="1">
      <c r="A48" s="289" t="s">
        <v>1616</v>
      </c>
      <c r="B48" s="290"/>
      <c r="C48" s="3734" t="e">
        <f>R49</f>
        <v>#DIV/0!</v>
      </c>
      <c r="D48" s="3847" t="s">
        <v>2042</v>
      </c>
      <c r="E48" s="2885" t="e">
        <f>R48</f>
        <v>#DIV/0!</v>
      </c>
      <c r="F48" s="2801"/>
      <c r="G48" s="2884" t="e">
        <f>T48</f>
        <v>#DIV/0!</v>
      </c>
      <c r="H48" s="2801"/>
      <c r="I48" s="2885" t="e">
        <f>V48</f>
        <v>#DIV/0!</v>
      </c>
      <c r="J48" s="2801"/>
      <c r="K48" s="2855">
        <f>F48+H48+J48</f>
        <v>0</v>
      </c>
      <c r="L48" s="1982"/>
      <c r="M48" s="1975"/>
      <c r="N48" s="1975"/>
      <c r="O48" s="1975"/>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4.5" thickBot="1">
      <c r="A49" s="291" t="s">
        <v>1617</v>
      </c>
      <c r="B49" s="292"/>
      <c r="C49" s="3735" t="e">
        <f>R49</f>
        <v>#DIV/0!</v>
      </c>
      <c r="D49" s="241"/>
      <c r="E49" s="241"/>
      <c r="F49" s="241"/>
      <c r="G49" s="241"/>
      <c r="H49" s="241"/>
      <c r="I49" s="241"/>
      <c r="J49" s="241"/>
      <c r="K49" s="1372"/>
      <c r="L49" s="1982"/>
      <c r="M49" s="1975"/>
      <c r="N49" s="1975"/>
      <c r="O49" s="1975"/>
      <c r="P49" s="4544" t="str">
        <f>A49</f>
        <v>估价对象XX用房的比较价值（楼面单价，元/平方米）</v>
      </c>
      <c r="Q49" s="4545"/>
      <c r="R49" s="4546" t="e">
        <f>IF(F1="售价",ROUND(IF(D48="简单平均",AVERAGE(R48:V48),R48*F48+T48*H48+V48*J48),0),ROUND(IF(D48="简单平均",AVERAGE(R48:V48),R48*F48+T48*H48+V48*J48),1))</f>
        <v>#DIV/0!</v>
      </c>
      <c r="S49" s="4546"/>
      <c r="T49" s="4546"/>
      <c r="U49" s="4546"/>
      <c r="V49" s="4546"/>
      <c r="W49" s="454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3875</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0</v>
      </c>
      <c r="C2" s="2784"/>
      <c r="D2" s="3738" t="b">
        <f>IF(E1="项目模式",IF(E2="——",ROUND(C49*D3/10000,0),ROUND(C49*D3/10000,0)-F2),IF(E1="单套模式",IF(E2="——",ROUND(C49*D3/10000,4),ROUND(C49*D3/10000,4)-F2)))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12000.230000000001</v>
      </c>
      <c r="E3" s="3848" t="s">
        <v>3476</v>
      </c>
      <c r="F3" s="3849">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c r="A4" s="235" t="s">
        <v>1676</v>
      </c>
      <c r="B4" s="236"/>
      <c r="C4" s="4563" t="s">
        <v>1677</v>
      </c>
      <c r="D4" s="4564"/>
      <c r="E4" s="4565" t="s">
        <v>1678</v>
      </c>
      <c r="F4" s="4566"/>
      <c r="G4" s="4563" t="s">
        <v>1679</v>
      </c>
      <c r="H4" s="4564"/>
      <c r="I4" s="4563" t="s">
        <v>1680</v>
      </c>
      <c r="J4" s="4564"/>
      <c r="K4" s="2863" t="s">
        <v>1681</v>
      </c>
      <c r="L4" s="1974"/>
      <c r="M4" s="1975"/>
      <c r="N4" s="1975"/>
      <c r="O4" s="1975"/>
      <c r="P4" s="4567" t="s">
        <v>1682</v>
      </c>
      <c r="Q4" s="4568"/>
      <c r="R4" s="4573" t="s">
        <v>1678</v>
      </c>
      <c r="S4" s="4574"/>
      <c r="T4" s="4573" t="s">
        <v>1679</v>
      </c>
      <c r="U4" s="4574"/>
      <c r="V4" s="4579" t="s">
        <v>1680</v>
      </c>
      <c r="W4" s="4579"/>
      <c r="X4" s="909"/>
      <c r="Y4" s="4588" t="s">
        <v>1682</v>
      </c>
      <c r="Z4" s="4589"/>
      <c r="AA4" s="4560" t="s">
        <v>1678</v>
      </c>
      <c r="AB4" s="4599" t="s">
        <v>1679</v>
      </c>
      <c r="AC4" s="4560" t="s">
        <v>1680</v>
      </c>
    </row>
    <row r="5" spans="1:29">
      <c r="A5" s="238"/>
      <c r="B5" s="239"/>
      <c r="C5" s="4582" t="s">
        <v>1580</v>
      </c>
      <c r="D5" s="4583"/>
      <c r="E5" s="4597" t="s">
        <v>1581</v>
      </c>
      <c r="F5" s="4598"/>
      <c r="G5" s="4582" t="s">
        <v>1582</v>
      </c>
      <c r="H5" s="4583"/>
      <c r="I5" s="4582" t="s">
        <v>1583</v>
      </c>
      <c r="J5" s="4583"/>
      <c r="K5" s="2863"/>
      <c r="L5" s="1974"/>
      <c r="M5" s="1975"/>
      <c r="N5" s="1975"/>
      <c r="O5" s="1975"/>
      <c r="P5" s="4569"/>
      <c r="Q5" s="4570"/>
      <c r="R5" s="4575"/>
      <c r="S5" s="4576"/>
      <c r="T5" s="4575"/>
      <c r="U5" s="4576"/>
      <c r="V5" s="4579"/>
      <c r="W5" s="4579"/>
      <c r="X5" s="909"/>
      <c r="Y5" s="4590"/>
      <c r="Z5" s="4591"/>
      <c r="AA5" s="4561"/>
      <c r="AB5" s="4599"/>
      <c r="AC5" s="4561"/>
    </row>
    <row r="6" spans="1:29" ht="15" thickBot="1">
      <c r="A6" s="240"/>
      <c r="B6" s="241"/>
      <c r="C6" s="4580" t="s">
        <v>1584</v>
      </c>
      <c r="D6" s="4581"/>
      <c r="E6" s="4595" t="s">
        <v>1584</v>
      </c>
      <c r="F6" s="4596"/>
      <c r="G6" s="4580" t="s">
        <v>1584</v>
      </c>
      <c r="H6" s="4581"/>
      <c r="I6" s="4580" t="s">
        <v>1584</v>
      </c>
      <c r="J6" s="4581"/>
      <c r="K6" s="2863" t="s">
        <v>1585</v>
      </c>
      <c r="L6" s="1974"/>
      <c r="M6" s="1975"/>
      <c r="N6" s="1975"/>
      <c r="O6" s="1975"/>
      <c r="P6" s="4571"/>
      <c r="Q6" s="4572"/>
      <c r="R6" s="4575"/>
      <c r="S6" s="4576"/>
      <c r="T6" s="4577"/>
      <c r="U6" s="4578"/>
      <c r="V6" s="4579"/>
      <c r="W6" s="4579"/>
      <c r="X6" s="909"/>
      <c r="Y6" s="4592"/>
      <c r="Z6" s="4593"/>
      <c r="AA6" s="4562"/>
      <c r="AB6" s="4599"/>
      <c r="AC6" s="4562"/>
    </row>
    <row r="7" spans="1:29" s="46" customFormat="1" ht="14.5" thickBot="1">
      <c r="A7" s="242" t="s">
        <v>1586</v>
      </c>
      <c r="B7" s="243"/>
      <c r="C7" s="244">
        <f>'数据-取费表'!B2</f>
        <v>46090</v>
      </c>
      <c r="D7" s="2886">
        <v>100</v>
      </c>
      <c r="E7" s="2840"/>
      <c r="F7" s="3718">
        <f>SUMIF(58:58,YEAR(E7)&amp;"-"&amp;MONTH(E7),59:59)</f>
        <v>0</v>
      </c>
      <c r="G7" s="2840"/>
      <c r="H7" s="3730">
        <f>SUMIF(58:58,YEAR(G7)&amp;"-"&amp;MONTH(G7),59:59)</f>
        <v>0</v>
      </c>
      <c r="I7" s="2840"/>
      <c r="J7" s="3730">
        <f>SUMIF(58:58,YEAR(I7)&amp;"-"&amp;MONTH(I7),59:59)</f>
        <v>0</v>
      </c>
      <c r="K7" s="2856"/>
      <c r="L7" s="1976"/>
      <c r="M7" s="1929"/>
      <c r="N7" s="1929"/>
      <c r="O7" s="1929"/>
      <c r="P7" s="4584" t="s">
        <v>1587</v>
      </c>
      <c r="Q7" s="4594"/>
      <c r="R7" s="3634" t="s">
        <v>13</v>
      </c>
      <c r="S7" s="3156">
        <f t="shared" ref="S7:S15" si="0">F7</f>
        <v>0</v>
      </c>
      <c r="T7" s="3634" t="s">
        <v>13</v>
      </c>
      <c r="U7" s="3156">
        <f t="shared" ref="U7:U15" si="1">H7</f>
        <v>0</v>
      </c>
      <c r="V7" s="3634" t="s">
        <v>13</v>
      </c>
      <c r="W7" s="3156">
        <f t="shared" ref="W7:W15" si="2">J7</f>
        <v>0</v>
      </c>
      <c r="X7" s="482"/>
      <c r="Y7" s="4586" t="s">
        <v>1587</v>
      </c>
      <c r="Z7" s="4587"/>
      <c r="AA7" s="28" t="e">
        <f>D7/F7</f>
        <v>#DIV/0!</v>
      </c>
      <c r="AB7" s="28" t="e">
        <f>D7/H7</f>
        <v>#DIV/0!</v>
      </c>
      <c r="AC7" s="28" t="e">
        <f>D7/J7</f>
        <v>#DIV/0!</v>
      </c>
    </row>
    <row r="8" spans="1:29" s="46" customFormat="1" ht="14.5" thickBot="1">
      <c r="A8" s="242" t="s">
        <v>1588</v>
      </c>
      <c r="B8" s="243"/>
      <c r="C8" s="246"/>
      <c r="D8" s="2886">
        <v>100</v>
      </c>
      <c r="E8" s="2812"/>
      <c r="F8" s="3718">
        <f>SUMIF(61:61,E8,62:62)-SUMIF(61:61,C8,62:62)+100</f>
        <v>100</v>
      </c>
      <c r="G8" s="2812"/>
      <c r="H8" s="3730">
        <f>SUMIF(61:61,G8,62:62)-SUMIF(61:61,C8,62:62)+100</f>
        <v>100</v>
      </c>
      <c r="I8" s="2812"/>
      <c r="J8" s="3730">
        <f>SUMIF(61:61,I8,62:62)-SUMIF(61:61,C8,62:62)+100</f>
        <v>100</v>
      </c>
      <c r="K8" s="2856"/>
      <c r="L8" s="1976"/>
      <c r="M8" s="1929"/>
      <c r="N8" s="1929"/>
      <c r="O8" s="1929"/>
      <c r="P8" s="4584" t="s">
        <v>1590</v>
      </c>
      <c r="Q8" s="4585"/>
      <c r="R8" s="3634" t="s">
        <v>13</v>
      </c>
      <c r="S8" s="3156">
        <f t="shared" si="0"/>
        <v>100</v>
      </c>
      <c r="T8" s="3634" t="s">
        <v>13</v>
      </c>
      <c r="U8" s="3156">
        <f t="shared" si="1"/>
        <v>100</v>
      </c>
      <c r="V8" s="3634" t="s">
        <v>13</v>
      </c>
      <c r="W8" s="3156">
        <f t="shared" si="2"/>
        <v>100</v>
      </c>
      <c r="X8" s="482"/>
      <c r="Y8" s="4586" t="s">
        <v>1590</v>
      </c>
      <c r="Z8" s="4587"/>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9">
        <f>SUMIF(63:63,E9,64:64)-SUMIF(63:63,C9,64:64)+100</f>
        <v>100</v>
      </c>
      <c r="G9" s="2841"/>
      <c r="H9" s="3731">
        <f>SUMIF(63:63,G9,64:64)-SUMIF(63:63,C9,64:64)+100</f>
        <v>100</v>
      </c>
      <c r="I9" s="2841"/>
      <c r="J9" s="3731">
        <f>SUMIF(63:63,I9,64:64)-SUMIF(63:63,C9,64:64)+100</f>
        <v>100</v>
      </c>
      <c r="K9" s="2856"/>
      <c r="L9" s="1976"/>
      <c r="M9" s="1929"/>
      <c r="N9" s="1929"/>
      <c r="O9" s="1929"/>
      <c r="P9" s="4558" t="s">
        <v>1593</v>
      </c>
      <c r="Q9" s="1698" t="str">
        <f t="shared" ref="Q9:Q15" si="6">B9</f>
        <v>用途</v>
      </c>
      <c r="R9" s="3634" t="s">
        <v>13</v>
      </c>
      <c r="S9" s="3156">
        <f t="shared" si="0"/>
        <v>100</v>
      </c>
      <c r="T9" s="3634" t="s">
        <v>13</v>
      </c>
      <c r="U9" s="3156">
        <f t="shared" si="1"/>
        <v>100</v>
      </c>
      <c r="V9" s="3634" t="s">
        <v>13</v>
      </c>
      <c r="W9" s="3156">
        <f t="shared" si="2"/>
        <v>100</v>
      </c>
      <c r="X9" s="482"/>
      <c r="Y9" s="4559"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56"/>
      <c r="L10" s="1977"/>
      <c r="M10" s="1978"/>
      <c r="N10" s="1978"/>
      <c r="O10" s="1978"/>
      <c r="P10" s="4558"/>
      <c r="Q10" s="1698" t="str">
        <f t="shared" si="6"/>
        <v>土地使用年限（年）</v>
      </c>
      <c r="R10" s="3634" t="s">
        <v>13</v>
      </c>
      <c r="S10" s="3156">
        <f t="shared" si="0"/>
        <v>100</v>
      </c>
      <c r="T10" s="3634" t="s">
        <v>13</v>
      </c>
      <c r="U10" s="3156">
        <f t="shared" si="1"/>
        <v>100</v>
      </c>
      <c r="V10" s="3634" t="s">
        <v>13</v>
      </c>
      <c r="W10" s="3156">
        <f t="shared" si="2"/>
        <v>100</v>
      </c>
      <c r="X10" s="482"/>
      <c r="Y10" s="4559"/>
      <c r="Z10" s="28" t="str">
        <f t="shared" si="7"/>
        <v>土地使用年限（年）</v>
      </c>
      <c r="AA10" s="28">
        <f t="shared" si="3"/>
        <v>1</v>
      </c>
      <c r="AB10" s="28">
        <f t="shared" si="4"/>
        <v>1</v>
      </c>
      <c r="AC10" s="28">
        <f t="shared" si="5"/>
        <v>1</v>
      </c>
    </row>
    <row r="11" spans="1:29" ht="15.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57"/>
      <c r="L11" s="1979"/>
      <c r="M11" s="1975"/>
      <c r="N11" s="1975"/>
      <c r="O11" s="1975"/>
      <c r="P11" s="4558"/>
      <c r="Q11" s="1698" t="str">
        <f t="shared" si="6"/>
        <v>容积率</v>
      </c>
      <c r="R11" s="3634" t="s">
        <v>13</v>
      </c>
      <c r="S11" s="3156">
        <f t="shared" si="0"/>
        <v>100</v>
      </c>
      <c r="T11" s="3634" t="s">
        <v>13</v>
      </c>
      <c r="U11" s="3156">
        <f t="shared" si="1"/>
        <v>100</v>
      </c>
      <c r="V11" s="3634" t="s">
        <v>13</v>
      </c>
      <c r="W11" s="3156">
        <f t="shared" si="2"/>
        <v>100</v>
      </c>
      <c r="X11" s="482"/>
      <c r="Y11" s="4559"/>
      <c r="Z11" s="28" t="str">
        <f t="shared" si="7"/>
        <v>容积率</v>
      </c>
      <c r="AA11" s="28">
        <f t="shared" si="3"/>
        <v>1</v>
      </c>
      <c r="AB11" s="28">
        <f t="shared" si="4"/>
        <v>1</v>
      </c>
      <c r="AC11" s="28">
        <f t="shared" si="5"/>
        <v>1</v>
      </c>
    </row>
    <row r="12" spans="1:29" s="46" customFormat="1" ht="15.5">
      <c r="A12" s="257"/>
      <c r="B12" s="2793">
        <v>111</v>
      </c>
      <c r="C12" s="2816"/>
      <c r="D12" s="2889">
        <v>100</v>
      </c>
      <c r="E12" s="2817"/>
      <c r="F12" s="3720">
        <f>SUMIF(70:70,E12,71:71)-SUMIF(70:70,C12,71:71)+100</f>
        <v>100</v>
      </c>
      <c r="G12" s="2817"/>
      <c r="H12" s="3732">
        <f>SUMIF(70:70,G12,71:71)-SUMIF(70:70,C12,71:71)+100</f>
        <v>100</v>
      </c>
      <c r="I12" s="2817"/>
      <c r="J12" s="3732">
        <f>SUMIF(70:70,I12,71:71)-SUMIF(70:70,C12,71:71)+100</f>
        <v>100</v>
      </c>
      <c r="K12" s="2858"/>
      <c r="L12" s="1976"/>
      <c r="M12" s="1929"/>
      <c r="N12" s="1929"/>
      <c r="O12" s="1929"/>
      <c r="P12" s="4558"/>
      <c r="Q12" s="1698">
        <f t="shared" si="6"/>
        <v>111</v>
      </c>
      <c r="R12" s="3634" t="s">
        <v>13</v>
      </c>
      <c r="S12" s="3156">
        <f t="shared" si="0"/>
        <v>100</v>
      </c>
      <c r="T12" s="3634" t="s">
        <v>13</v>
      </c>
      <c r="U12" s="3156">
        <f t="shared" si="1"/>
        <v>100</v>
      </c>
      <c r="V12" s="3634" t="s">
        <v>13</v>
      </c>
      <c r="W12" s="3156">
        <f t="shared" si="2"/>
        <v>100</v>
      </c>
      <c r="X12" s="482"/>
      <c r="Y12" s="4559"/>
      <c r="Z12" s="28">
        <f t="shared" si="7"/>
        <v>111</v>
      </c>
      <c r="AA12" s="28">
        <f>D12/F12</f>
        <v>1</v>
      </c>
      <c r="AB12" s="28">
        <f>D12/H12</f>
        <v>1</v>
      </c>
      <c r="AC12" s="28">
        <f>D12/J12</f>
        <v>1</v>
      </c>
    </row>
    <row r="13" spans="1:29" ht="15.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58"/>
      <c r="L13" s="1980"/>
      <c r="M13" s="1975"/>
      <c r="N13" s="1975"/>
      <c r="O13" s="1975"/>
      <c r="P13" s="4558"/>
      <c r="Q13" s="1698">
        <f t="shared" si="6"/>
        <v>111</v>
      </c>
      <c r="R13" s="3634" t="s">
        <v>13</v>
      </c>
      <c r="S13" s="3156">
        <f t="shared" si="0"/>
        <v>100</v>
      </c>
      <c r="T13" s="3634" t="s">
        <v>13</v>
      </c>
      <c r="U13" s="3156">
        <f t="shared" si="1"/>
        <v>100</v>
      </c>
      <c r="V13" s="3634" t="s">
        <v>13</v>
      </c>
      <c r="W13" s="3156">
        <f t="shared" si="2"/>
        <v>100</v>
      </c>
      <c r="X13" s="482"/>
      <c r="Y13" s="4559"/>
      <c r="Z13" s="28">
        <f t="shared" si="7"/>
        <v>111</v>
      </c>
      <c r="AA13" s="28">
        <f t="shared" si="3"/>
        <v>1</v>
      </c>
      <c r="AB13" s="28">
        <f t="shared" si="4"/>
        <v>1</v>
      </c>
      <c r="AC13" s="28">
        <f t="shared" si="5"/>
        <v>1</v>
      </c>
    </row>
    <row r="14" spans="1:29" ht="16" thickBot="1">
      <c r="A14" s="260"/>
      <c r="B14" s="2794">
        <v>111</v>
      </c>
      <c r="C14" s="2818"/>
      <c r="D14" s="2891">
        <v>100</v>
      </c>
      <c r="E14" s="2817"/>
      <c r="F14" s="3721">
        <f>SUMIF(74:74,E14,75:75)-SUMIF(74:74,C14,75:75)+100</f>
        <v>100</v>
      </c>
      <c r="G14" s="2817"/>
      <c r="H14" s="3728">
        <f>SUMIF(74:74,G14,75:75)-SUMIF(74:74,C14,75:75)+100</f>
        <v>100</v>
      </c>
      <c r="I14" s="2817"/>
      <c r="J14" s="3728">
        <f>SUMIF(74:74,I14,75:75)-SUMIF(74:74,C14,75:75)+100</f>
        <v>100</v>
      </c>
      <c r="K14" s="2858"/>
      <c r="L14" s="1980"/>
      <c r="M14" s="1975"/>
      <c r="N14" s="1975"/>
      <c r="O14" s="1975"/>
      <c r="P14" s="4558"/>
      <c r="Q14" s="1698">
        <f t="shared" si="6"/>
        <v>111</v>
      </c>
      <c r="R14" s="3634" t="s">
        <v>13</v>
      </c>
      <c r="S14" s="3156">
        <f t="shared" si="0"/>
        <v>100</v>
      </c>
      <c r="T14" s="3634" t="s">
        <v>13</v>
      </c>
      <c r="U14" s="3156">
        <f t="shared" si="1"/>
        <v>100</v>
      </c>
      <c r="V14" s="3634" t="s">
        <v>13</v>
      </c>
      <c r="W14" s="3156">
        <f t="shared" si="2"/>
        <v>100</v>
      </c>
      <c r="X14" s="482"/>
      <c r="Y14" s="4559"/>
      <c r="Z14" s="28">
        <f t="shared" si="7"/>
        <v>111</v>
      </c>
      <c r="AA14" s="28">
        <f t="shared" si="3"/>
        <v>1</v>
      </c>
      <c r="AB14" s="28">
        <f t="shared" si="4"/>
        <v>1</v>
      </c>
      <c r="AC14" s="28">
        <f t="shared" si="5"/>
        <v>1</v>
      </c>
    </row>
    <row r="15" spans="1:29" ht="70">
      <c r="A15" s="262" t="s">
        <v>1597</v>
      </c>
      <c r="B15" s="2795" t="s">
        <v>1684</v>
      </c>
      <c r="C15" s="2819" t="str">
        <f>估价对象房地状况!C4</f>
        <v>估价对象位于XX商圈，周边商业氛围成熟，人流量大，商业繁华度好</v>
      </c>
      <c r="D15" s="2892">
        <v>100</v>
      </c>
      <c r="E15" s="2844"/>
      <c r="F15" s="3740">
        <f>SUMIF(76:76,E16,77:77)-SUMIF(76:76,C16,77:77)+100</f>
        <v>100</v>
      </c>
      <c r="G15" s="2850"/>
      <c r="H15" s="3722">
        <f>SUMIF(76:76,G16,77:77)-SUMIF(76:76,C16,77:77)+100</f>
        <v>100</v>
      </c>
      <c r="I15" s="2844"/>
      <c r="J15" s="3722">
        <f>SUMIF(76:76,I16,77:77)-SUMIF(76:76,C16,77:77)+100</f>
        <v>100</v>
      </c>
      <c r="K15" s="2859"/>
      <c r="L15" s="1980"/>
      <c r="M15" s="1975"/>
      <c r="N15" s="1975"/>
      <c r="O15" s="1975"/>
      <c r="P15" s="4556" t="s">
        <v>1598</v>
      </c>
      <c r="Q15" s="1507" t="str">
        <f t="shared" si="6"/>
        <v>商业繁华度</v>
      </c>
      <c r="R15" s="3736" t="s">
        <v>13</v>
      </c>
      <c r="S15" s="3157">
        <f t="shared" si="0"/>
        <v>100</v>
      </c>
      <c r="T15" s="3736" t="s">
        <v>13</v>
      </c>
      <c r="U15" s="3157">
        <f t="shared" si="1"/>
        <v>100</v>
      </c>
      <c r="V15" s="3736" t="s">
        <v>13</v>
      </c>
      <c r="W15" s="3157">
        <f t="shared" si="2"/>
        <v>100</v>
      </c>
      <c r="X15" s="909"/>
      <c r="Y15" s="4549" t="s">
        <v>1598</v>
      </c>
      <c r="Z15" s="907" t="str">
        <f t="shared" si="7"/>
        <v>商业繁华度</v>
      </c>
      <c r="AA15" s="907">
        <f t="shared" si="3"/>
        <v>1</v>
      </c>
      <c r="AB15" s="907">
        <f t="shared" si="4"/>
        <v>1</v>
      </c>
      <c r="AC15" s="907">
        <f t="shared" si="5"/>
        <v>1</v>
      </c>
    </row>
    <row r="16" spans="1:29" ht="15.5">
      <c r="A16" s="254"/>
      <c r="B16" s="2796"/>
      <c r="C16" s="2820"/>
      <c r="D16" s="2893"/>
      <c r="E16" s="2820"/>
      <c r="F16" s="3741"/>
      <c r="G16" s="2820"/>
      <c r="H16" s="3724"/>
      <c r="I16" s="2820"/>
      <c r="J16" s="3723"/>
      <c r="K16" s="2860"/>
      <c r="L16" s="1980"/>
      <c r="M16" s="1975"/>
      <c r="N16" s="1975"/>
      <c r="O16" s="1975"/>
      <c r="P16" s="4557"/>
      <c r="Q16" s="1507"/>
      <c r="R16" s="3736"/>
      <c r="S16" s="3157"/>
      <c r="T16" s="3736"/>
      <c r="U16" s="3157"/>
      <c r="V16" s="3736"/>
      <c r="W16" s="3157"/>
      <c r="X16" s="909"/>
      <c r="Y16" s="4550"/>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45"/>
      <c r="F17" s="3742">
        <f>SUMIF(78:78,E18,79:79)-SUMIF(78:78,C18,79:79)+100</f>
        <v>100</v>
      </c>
      <c r="G17" s="2851"/>
      <c r="H17" s="3725">
        <f>SUMIF(78:78,G18,79:79)-SUMIF(78:78,C18,79:79)+100</f>
        <v>100</v>
      </c>
      <c r="I17" s="2845"/>
      <c r="J17" s="3725">
        <f>SUMIF(78:78,I18,79:79)-SUMIF(78:78,C18,79:79)+100</f>
        <v>100</v>
      </c>
      <c r="K17" s="2859"/>
      <c r="L17" s="1980"/>
      <c r="M17" s="1975"/>
      <c r="N17" s="1975"/>
      <c r="O17" s="1975"/>
      <c r="P17" s="4557"/>
      <c r="Q17" s="1507" t="str">
        <f>B17</f>
        <v>交通便捷度</v>
      </c>
      <c r="R17" s="3736" t="s">
        <v>13</v>
      </c>
      <c r="S17" s="3157">
        <f>F17</f>
        <v>100</v>
      </c>
      <c r="T17" s="3736" t="s">
        <v>13</v>
      </c>
      <c r="U17" s="3157">
        <f>H17</f>
        <v>100</v>
      </c>
      <c r="V17" s="3736" t="s">
        <v>13</v>
      </c>
      <c r="W17" s="3157">
        <f>J17</f>
        <v>100</v>
      </c>
      <c r="X17" s="909"/>
      <c r="Y17" s="4550"/>
      <c r="Z17" s="907" t="str">
        <f>Q17</f>
        <v>交通便捷度</v>
      </c>
      <c r="AA17" s="907">
        <f t="shared" si="3"/>
        <v>1</v>
      </c>
      <c r="AB17" s="907">
        <f t="shared" si="4"/>
        <v>1</v>
      </c>
      <c r="AC17" s="907">
        <f t="shared" si="5"/>
        <v>1</v>
      </c>
    </row>
    <row r="18" spans="1:29" ht="15.5">
      <c r="A18" s="254"/>
      <c r="B18" s="2798"/>
      <c r="C18" s="2822"/>
      <c r="D18" s="2894"/>
      <c r="E18" s="2846"/>
      <c r="F18" s="3742"/>
      <c r="G18" s="2852"/>
      <c r="H18" s="3723"/>
      <c r="I18" s="2846"/>
      <c r="J18" s="3723"/>
      <c r="K18" s="2860"/>
      <c r="L18" s="1980"/>
      <c r="M18" s="1975"/>
      <c r="N18" s="1975"/>
      <c r="O18" s="1975"/>
      <c r="P18" s="4557"/>
      <c r="Q18" s="1507"/>
      <c r="R18" s="3736"/>
      <c r="S18" s="3157"/>
      <c r="T18" s="3736"/>
      <c r="U18" s="3157"/>
      <c r="V18" s="3736"/>
      <c r="W18" s="3157"/>
      <c r="X18" s="909"/>
      <c r="Y18" s="4550"/>
      <c r="Z18" s="907"/>
      <c r="AA18" s="907">
        <v>1</v>
      </c>
      <c r="AB18" s="907">
        <v>1</v>
      </c>
      <c r="AC18" s="907">
        <v>1</v>
      </c>
    </row>
    <row r="19" spans="1:29" ht="42">
      <c r="A19" s="254"/>
      <c r="B19" s="2797" t="s">
        <v>1685</v>
      </c>
      <c r="C19" s="2821" t="str">
        <f>估价对象房地状况!C7</f>
        <v>估价对象所在区域公共配套设施齐备情况</v>
      </c>
      <c r="D19" s="2895">
        <v>100</v>
      </c>
      <c r="E19" s="2847"/>
      <c r="F19" s="3743">
        <f>SUMIF(80:80,E20,81:81)-SUMIF(80:80,C20,81:81)+100</f>
        <v>100</v>
      </c>
      <c r="G19" s="2853"/>
      <c r="H19" s="3724">
        <f>SUMIF(80:80,G20,81:81)-SUMIF(80:80,C20,81:81)+100</f>
        <v>100</v>
      </c>
      <c r="I19" s="2847"/>
      <c r="J19" s="3724">
        <f>SUMIF(80:80,I20,81:81)-SUMIF(80:80,C20,81:81)+100</f>
        <v>100</v>
      </c>
      <c r="K19" s="2859"/>
      <c r="L19" s="1980"/>
      <c r="M19" s="1975"/>
      <c r="N19" s="1975"/>
      <c r="O19" s="1975"/>
      <c r="P19" s="4557"/>
      <c r="Q19" s="1507" t="str">
        <f>B19</f>
        <v>公共配套设施</v>
      </c>
      <c r="R19" s="3736" t="s">
        <v>13</v>
      </c>
      <c r="S19" s="3157">
        <f>F19</f>
        <v>100</v>
      </c>
      <c r="T19" s="3736" t="s">
        <v>13</v>
      </c>
      <c r="U19" s="3157">
        <f>H19</f>
        <v>100</v>
      </c>
      <c r="V19" s="3736" t="s">
        <v>13</v>
      </c>
      <c r="W19" s="3157">
        <f>J19</f>
        <v>100</v>
      </c>
      <c r="X19" s="909"/>
      <c r="Y19" s="4550"/>
      <c r="Z19" s="907" t="str">
        <f>Q19</f>
        <v>公共配套设施</v>
      </c>
      <c r="AA19" s="907">
        <f t="shared" si="3"/>
        <v>1</v>
      </c>
      <c r="AB19" s="907">
        <f t="shared" si="4"/>
        <v>1</v>
      </c>
      <c r="AC19" s="907">
        <f t="shared" si="5"/>
        <v>1</v>
      </c>
    </row>
    <row r="20" spans="1:29" ht="15.5">
      <c r="A20" s="254"/>
      <c r="B20" s="2798"/>
      <c r="C20" s="2820"/>
      <c r="D20" s="2893"/>
      <c r="E20" s="2848"/>
      <c r="F20" s="3741"/>
      <c r="G20" s="2854"/>
      <c r="H20" s="3723"/>
      <c r="I20" s="2848"/>
      <c r="J20" s="3723"/>
      <c r="K20" s="2860"/>
      <c r="L20" s="1980"/>
      <c r="M20" s="1975"/>
      <c r="N20" s="1975"/>
      <c r="O20" s="1975"/>
      <c r="P20" s="4557"/>
      <c r="Q20" s="1507"/>
      <c r="R20" s="3736"/>
      <c r="S20" s="3157"/>
      <c r="T20" s="3736"/>
      <c r="U20" s="3157"/>
      <c r="V20" s="3736"/>
      <c r="W20" s="3157"/>
      <c r="X20" s="909"/>
      <c r="Y20" s="4550"/>
      <c r="Z20" s="907"/>
      <c r="AA20" s="907">
        <v>1</v>
      </c>
      <c r="AB20" s="907">
        <v>1</v>
      </c>
      <c r="AC20" s="907">
        <v>1</v>
      </c>
    </row>
    <row r="21" spans="1:29" ht="28">
      <c r="A21" s="254"/>
      <c r="B21" s="2799" t="s">
        <v>1686</v>
      </c>
      <c r="C21" s="2821" t="str">
        <f>估价对象房地状况!C8</f>
        <v>估价对象所在区域基础设施水平</v>
      </c>
      <c r="D21" s="2895">
        <v>100</v>
      </c>
      <c r="E21" s="2847"/>
      <c r="F21" s="3743">
        <f>SUMIF(82:82,E22,83:83)-SUMIF(82:82,C22,83:83)+100</f>
        <v>100</v>
      </c>
      <c r="G21" s="2853"/>
      <c r="H21" s="3724">
        <f>SUMIF(82:82,G22,83:83)-SUMIF(82:82,C22,83:83)+100</f>
        <v>100</v>
      </c>
      <c r="I21" s="2847"/>
      <c r="J21" s="3724">
        <f>SUMIF(82:82,I22,83:83)-SUMIF(82:82,C22,83:83)+100</f>
        <v>100</v>
      </c>
      <c r="K21" s="2859"/>
      <c r="L21" s="1980"/>
      <c r="M21" s="1975"/>
      <c r="N21" s="1975"/>
      <c r="O21" s="1975"/>
      <c r="P21" s="4557"/>
      <c r="Q21" s="1507" t="str">
        <f>B21</f>
        <v>基础设施水平</v>
      </c>
      <c r="R21" s="3736" t="s">
        <v>13</v>
      </c>
      <c r="S21" s="3157">
        <f>F21</f>
        <v>100</v>
      </c>
      <c r="T21" s="3736" t="s">
        <v>13</v>
      </c>
      <c r="U21" s="3157">
        <f>H21</f>
        <v>100</v>
      </c>
      <c r="V21" s="3736" t="s">
        <v>13</v>
      </c>
      <c r="W21" s="3157">
        <f>J21</f>
        <v>100</v>
      </c>
      <c r="X21" s="909"/>
      <c r="Y21" s="4550"/>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41"/>
      <c r="G22" s="2820"/>
      <c r="H22" s="3723"/>
      <c r="I22" s="2820"/>
      <c r="J22" s="3723"/>
      <c r="K22" s="2861"/>
      <c r="L22" s="1980"/>
      <c r="M22" s="1975"/>
      <c r="N22" s="1975"/>
      <c r="O22" s="1975"/>
      <c r="P22" s="4557"/>
      <c r="Q22" s="1507"/>
      <c r="R22" s="3736"/>
      <c r="S22" s="3157"/>
      <c r="T22" s="3736"/>
      <c r="U22" s="3157"/>
      <c r="V22" s="3736"/>
      <c r="W22" s="3157"/>
      <c r="X22" s="909"/>
      <c r="Y22" s="4550"/>
      <c r="Z22" s="907"/>
      <c r="AA22" s="907">
        <v>1</v>
      </c>
      <c r="AB22" s="907">
        <v>1</v>
      </c>
      <c r="AC22" s="907">
        <v>1</v>
      </c>
    </row>
    <row r="23" spans="1:29" ht="56">
      <c r="A23" s="254"/>
      <c r="B23" s="2797" t="s">
        <v>1239</v>
      </c>
      <c r="C23" s="2835" t="str">
        <f>估价对象房地状况!C9</f>
        <v>区域自然环境：；人文环境；综合评价环境状况一般</v>
      </c>
      <c r="D23" s="2894">
        <v>100</v>
      </c>
      <c r="E23" s="2845"/>
      <c r="F23" s="3742">
        <f>SUMIF(84:84,E24,85:85)-SUMIF(84:84,C24,85:85)+100</f>
        <v>100</v>
      </c>
      <c r="G23" s="2851"/>
      <c r="H23" s="3724">
        <f>SUMIF(84:84,G24,85:85)-SUMIF(84:84,C24,85:85)+100</f>
        <v>100</v>
      </c>
      <c r="I23" s="2845"/>
      <c r="J23" s="3724">
        <f>SUMIF(84:84,I24,85:85)-SUMIF(84:84,C24,85:85)+100</f>
        <v>100</v>
      </c>
      <c r="K23" s="2859"/>
      <c r="L23" s="1980"/>
      <c r="M23" s="1975"/>
      <c r="N23" s="1975"/>
      <c r="O23" s="1975"/>
      <c r="P23" s="4557"/>
      <c r="Q23" s="1507" t="str">
        <f>B23</f>
        <v>自然及人文环境</v>
      </c>
      <c r="R23" s="3736" t="s">
        <v>13</v>
      </c>
      <c r="S23" s="3157">
        <f>F23</f>
        <v>100</v>
      </c>
      <c r="T23" s="3736" t="s">
        <v>13</v>
      </c>
      <c r="U23" s="3157">
        <f>H23</f>
        <v>100</v>
      </c>
      <c r="V23" s="3736" t="s">
        <v>13</v>
      </c>
      <c r="W23" s="3157">
        <f>J23</f>
        <v>100</v>
      </c>
      <c r="X23" s="909"/>
      <c r="Y23" s="4550"/>
      <c r="Z23" s="907" t="str">
        <f>Q23</f>
        <v>自然及人文环境</v>
      </c>
      <c r="AA23" s="907">
        <f t="shared" si="3"/>
        <v>1</v>
      </c>
      <c r="AB23" s="907">
        <f t="shared" si="4"/>
        <v>1</v>
      </c>
      <c r="AC23" s="907">
        <f t="shared" si="5"/>
        <v>1</v>
      </c>
    </row>
    <row r="24" spans="1:29" ht="15.5">
      <c r="A24" s="254"/>
      <c r="B24" s="2798"/>
      <c r="C24" s="2820"/>
      <c r="D24" s="2893"/>
      <c r="E24" s="2848"/>
      <c r="F24" s="3741"/>
      <c r="G24" s="2854"/>
      <c r="H24" s="3723"/>
      <c r="I24" s="2848"/>
      <c r="J24" s="3723"/>
      <c r="K24" s="2860"/>
      <c r="L24" s="1980"/>
      <c r="M24" s="1975"/>
      <c r="N24" s="1975"/>
      <c r="O24" s="1975"/>
      <c r="P24" s="4557"/>
      <c r="Q24" s="1507"/>
      <c r="R24" s="3736"/>
      <c r="S24" s="3157"/>
      <c r="T24" s="3736"/>
      <c r="U24" s="3157"/>
      <c r="V24" s="3736"/>
      <c r="W24" s="3157"/>
      <c r="X24" s="909"/>
      <c r="Y24" s="4550"/>
      <c r="Z24" s="907"/>
      <c r="AA24" s="907">
        <v>1</v>
      </c>
      <c r="AB24" s="907">
        <v>1</v>
      </c>
      <c r="AC24" s="907">
        <v>1</v>
      </c>
    </row>
    <row r="25" spans="1:29" ht="15.5">
      <c r="A25" s="254"/>
      <c r="B25" s="2789" t="s">
        <v>1687</v>
      </c>
      <c r="C25" s="2836"/>
      <c r="D25" s="2890">
        <v>100</v>
      </c>
      <c r="E25" s="2836"/>
      <c r="F25" s="3729">
        <f>SUMIF(86:86,E25,87:87)-SUMIF(86:86,C25,87:87)+100</f>
        <v>100</v>
      </c>
      <c r="G25" s="2836"/>
      <c r="H25" s="3726">
        <f>SUMIF(86:86,G25,87:87)-SUMIF(86:86,C25,87:87)+100</f>
        <v>100</v>
      </c>
      <c r="I25" s="2836"/>
      <c r="J25" s="3726">
        <f>SUMIF(86:86,I25,87:87)-SUMIF(86:86,C25,87:87)+100</f>
        <v>100</v>
      </c>
      <c r="K25" s="2857"/>
      <c r="L25" s="1980"/>
      <c r="M25" s="1975"/>
      <c r="N25" s="1975"/>
      <c r="O25" s="1975"/>
      <c r="P25" s="4557"/>
      <c r="Q25" s="1507" t="str">
        <f t="shared" ref="Q25:Q46" si="11">B25</f>
        <v>临街状况</v>
      </c>
      <c r="R25" s="3736" t="s">
        <v>13</v>
      </c>
      <c r="S25" s="3157">
        <f>F25</f>
        <v>100</v>
      </c>
      <c r="T25" s="3736" t="s">
        <v>13</v>
      </c>
      <c r="U25" s="3157">
        <f>H25</f>
        <v>100</v>
      </c>
      <c r="V25" s="3736" t="s">
        <v>13</v>
      </c>
      <c r="W25" s="3157">
        <f>J25</f>
        <v>100</v>
      </c>
      <c r="X25" s="909"/>
      <c r="Y25" s="4550"/>
      <c r="Z25" s="907" t="str">
        <f>Q25</f>
        <v>临街状况</v>
      </c>
      <c r="AA25" s="907">
        <f t="shared" si="3"/>
        <v>1</v>
      </c>
      <c r="AB25" s="907">
        <f t="shared" si="4"/>
        <v>1</v>
      </c>
      <c r="AC25" s="907">
        <f t="shared" si="5"/>
        <v>1</v>
      </c>
    </row>
    <row r="26" spans="1:29" ht="15.5">
      <c r="A26" s="254"/>
      <c r="B26" s="2800" t="s">
        <v>1688</v>
      </c>
      <c r="C26" s="2817"/>
      <c r="D26" s="2890">
        <v>100</v>
      </c>
      <c r="E26" s="2817"/>
      <c r="F26" s="3729">
        <f>SUMIF(88:88,E26,89:89)-SUMIF(88:88,C26,89:89)+100</f>
        <v>100</v>
      </c>
      <c r="G26" s="2817"/>
      <c r="H26" s="3726">
        <f>SUMIF(88:88,G26,89:89)-SUMIF(88:88,C26,89:89)+100</f>
        <v>100</v>
      </c>
      <c r="I26" s="2817"/>
      <c r="J26" s="3726">
        <f>SUMIF(88:88,I26,89:89)-SUMIF(88:88,C26,89:89)+100</f>
        <v>100</v>
      </c>
      <c r="K26" s="2858"/>
      <c r="L26" s="1980"/>
      <c r="M26" s="1975"/>
      <c r="N26" s="1975"/>
      <c r="O26" s="1975"/>
      <c r="P26" s="4557"/>
      <c r="Q26" s="1507" t="str">
        <f t="shared" si="11"/>
        <v>平面位置/可视性</v>
      </c>
      <c r="R26" s="3736" t="s">
        <v>13</v>
      </c>
      <c r="S26" s="3157">
        <f>F26</f>
        <v>100</v>
      </c>
      <c r="T26" s="3736" t="s">
        <v>13</v>
      </c>
      <c r="U26" s="3157">
        <f>H26</f>
        <v>100</v>
      </c>
      <c r="V26" s="3736" t="s">
        <v>13</v>
      </c>
      <c r="W26" s="3157">
        <f>J26</f>
        <v>100</v>
      </c>
      <c r="X26" s="909"/>
      <c r="Y26" s="4550"/>
      <c r="Z26" s="907" t="str">
        <f>Q26</f>
        <v>平面位置/可视性</v>
      </c>
      <c r="AA26" s="907">
        <f t="shared" si="3"/>
        <v>1</v>
      </c>
      <c r="AB26" s="907">
        <f t="shared" si="4"/>
        <v>1</v>
      </c>
      <c r="AC26" s="907">
        <f t="shared" si="5"/>
        <v>1</v>
      </c>
    </row>
    <row r="27" spans="1:29" s="46" customFormat="1" ht="15.5">
      <c r="A27" s="257"/>
      <c r="B27" s="2797" t="s">
        <v>1689</v>
      </c>
      <c r="C27" s="2837"/>
      <c r="D27" s="2896">
        <v>100</v>
      </c>
      <c r="E27" s="2837"/>
      <c r="F27" s="3744">
        <f>SUMIF(90:90,E27,91:91)-SUMIF(90:90,C27,91:91)+100</f>
        <v>100</v>
      </c>
      <c r="G27" s="2837"/>
      <c r="H27" s="3727">
        <f>SUMIF(90:90,G27,91:91)-SUMIF(90:90,C27,91:91)+100</f>
        <v>100</v>
      </c>
      <c r="I27" s="2837"/>
      <c r="J27" s="3727">
        <f>SUMIF(90:90,I27,91:91)-SUMIF(90:90,C27,91:91)+100</f>
        <v>100</v>
      </c>
      <c r="K27" s="2857"/>
      <c r="L27" s="1976"/>
      <c r="M27" s="1929"/>
      <c r="N27" s="1929"/>
      <c r="O27" s="1929"/>
      <c r="P27" s="4557"/>
      <c r="Q27" s="1698" t="str">
        <f t="shared" si="11"/>
        <v>人流量</v>
      </c>
      <c r="R27" s="3634" t="s">
        <v>13</v>
      </c>
      <c r="S27" s="3156">
        <f>F27</f>
        <v>100</v>
      </c>
      <c r="T27" s="3634" t="s">
        <v>13</v>
      </c>
      <c r="U27" s="3156">
        <f>H27</f>
        <v>100</v>
      </c>
      <c r="V27" s="3634" t="s">
        <v>13</v>
      </c>
      <c r="W27" s="3156">
        <f>J27</f>
        <v>100</v>
      </c>
      <c r="X27" s="482"/>
      <c r="Y27" s="4550"/>
      <c r="Z27" s="28" t="str">
        <f>Q27</f>
        <v>人流量</v>
      </c>
      <c r="AA27" s="907">
        <f>D27/F27</f>
        <v>1</v>
      </c>
      <c r="AB27" s="907">
        <f>D27/H27</f>
        <v>1</v>
      </c>
      <c r="AC27" s="907">
        <f>D27/J27</f>
        <v>1</v>
      </c>
    </row>
    <row r="28" spans="1:29" ht="15.5">
      <c r="A28" s="254"/>
      <c r="B28" s="2789" t="s">
        <v>1690</v>
      </c>
      <c r="C28" s="2836"/>
      <c r="D28" s="2890">
        <v>100</v>
      </c>
      <c r="E28" s="2836"/>
      <c r="F28" s="3729">
        <f>SUMIF(92:92,E28,93:93)-SUMIF(92:92,C28,93:93)+100</f>
        <v>100</v>
      </c>
      <c r="G28" s="2836"/>
      <c r="H28" s="3726">
        <f>SUMIF(92:92,G28,93:93)-SUMIF(92:92,C28,93:93)+100</f>
        <v>100</v>
      </c>
      <c r="I28" s="2836"/>
      <c r="J28" s="3726">
        <f>SUMIF(92:92,I28,93:93)-SUMIF(92:92,C28,93:93)+100</f>
        <v>100</v>
      </c>
      <c r="K28" s="2858"/>
      <c r="L28" s="1980"/>
      <c r="M28" s="1975"/>
      <c r="N28" s="1975"/>
      <c r="O28" s="1975"/>
      <c r="P28" s="4557"/>
      <c r="Q28" s="1507" t="str">
        <f t="shared" si="11"/>
        <v>楼层</v>
      </c>
      <c r="R28" s="3736" t="s">
        <v>13</v>
      </c>
      <c r="S28" s="3157">
        <f t="shared" ref="S28:S46" si="12">F28</f>
        <v>100</v>
      </c>
      <c r="T28" s="3736" t="s">
        <v>13</v>
      </c>
      <c r="U28" s="3157">
        <f t="shared" ref="U28:U46" si="13">H28</f>
        <v>100</v>
      </c>
      <c r="V28" s="3736" t="s">
        <v>13</v>
      </c>
      <c r="W28" s="3157">
        <f t="shared" ref="W28:W46" si="14">J28</f>
        <v>100</v>
      </c>
      <c r="X28" s="909"/>
      <c r="Y28" s="4550"/>
      <c r="Z28" s="907" t="str">
        <f t="shared" ref="Z28:Z46" si="15">Q28</f>
        <v>楼层</v>
      </c>
      <c r="AA28" s="907">
        <f t="shared" si="3"/>
        <v>1</v>
      </c>
      <c r="AB28" s="907">
        <f t="shared" si="4"/>
        <v>1</v>
      </c>
      <c r="AC28" s="907">
        <f t="shared" si="5"/>
        <v>1</v>
      </c>
    </row>
    <row r="29" spans="1:29" ht="15.5">
      <c r="A29" s="254"/>
      <c r="B29" s="2800">
        <v>111</v>
      </c>
      <c r="C29" s="2817"/>
      <c r="D29" s="2890">
        <v>100</v>
      </c>
      <c r="E29" s="2817"/>
      <c r="F29" s="3729">
        <f>SUMIF(94:94,E29,95:95)-SUMIF(94:94,C29,95:95)+100</f>
        <v>100</v>
      </c>
      <c r="G29" s="2817"/>
      <c r="H29" s="3726">
        <f>SUMIF(94:94,G29,95:95)-SUMIF(94:94,C29,95:95)+100</f>
        <v>100</v>
      </c>
      <c r="I29" s="2817"/>
      <c r="J29" s="3726">
        <f>SUMIF(94:94,I29,95:95)-SUMIF(94:94,C29,95:95)+100</f>
        <v>100</v>
      </c>
      <c r="K29" s="2858"/>
      <c r="L29" s="1980"/>
      <c r="M29" s="1975"/>
      <c r="N29" s="1975"/>
      <c r="O29" s="1975"/>
      <c r="P29" s="4557"/>
      <c r="Q29" s="1507">
        <f t="shared" si="11"/>
        <v>111</v>
      </c>
      <c r="R29" s="3736" t="s">
        <v>13</v>
      </c>
      <c r="S29" s="3157">
        <f t="shared" si="12"/>
        <v>100</v>
      </c>
      <c r="T29" s="3736" t="s">
        <v>13</v>
      </c>
      <c r="U29" s="3157">
        <f t="shared" si="13"/>
        <v>100</v>
      </c>
      <c r="V29" s="3736" t="s">
        <v>13</v>
      </c>
      <c r="W29" s="3157">
        <f t="shared" si="14"/>
        <v>100</v>
      </c>
      <c r="X29" s="909"/>
      <c r="Y29" s="4550"/>
      <c r="Z29" s="907">
        <f t="shared" si="15"/>
        <v>111</v>
      </c>
      <c r="AA29" s="907">
        <f t="shared" si="3"/>
        <v>1</v>
      </c>
      <c r="AB29" s="907">
        <f t="shared" si="4"/>
        <v>1</v>
      </c>
      <c r="AC29" s="907">
        <f t="shared" si="5"/>
        <v>1</v>
      </c>
    </row>
    <row r="30" spans="1:29" ht="15.5">
      <c r="A30" s="254"/>
      <c r="B30" s="2800">
        <v>111</v>
      </c>
      <c r="C30" s="2817"/>
      <c r="D30" s="2890">
        <v>100</v>
      </c>
      <c r="E30" s="2817"/>
      <c r="F30" s="3729">
        <f>SUMIF(96:96,E30,97:97)-SUMIF(96:96,C30,97:97)+100</f>
        <v>100</v>
      </c>
      <c r="G30" s="2817"/>
      <c r="H30" s="3726">
        <f>SUMIF(96:96,G30,97:97)-SUMIF(96:96,C30,97:97)+100</f>
        <v>100</v>
      </c>
      <c r="I30" s="2817"/>
      <c r="J30" s="3726">
        <f>SUMIF(96:96,I30,97:97)-SUMIF(96:96,C30,97:97)+100</f>
        <v>100</v>
      </c>
      <c r="K30" s="2858"/>
      <c r="L30" s="1980"/>
      <c r="M30" s="1975"/>
      <c r="N30" s="1975"/>
      <c r="O30" s="1975"/>
      <c r="P30" s="4557"/>
      <c r="Q30" s="1507">
        <f t="shared" si="11"/>
        <v>111</v>
      </c>
      <c r="R30" s="3736" t="s">
        <v>13</v>
      </c>
      <c r="S30" s="3157">
        <f t="shared" si="12"/>
        <v>100</v>
      </c>
      <c r="T30" s="3736" t="s">
        <v>13</v>
      </c>
      <c r="U30" s="3157">
        <f t="shared" si="13"/>
        <v>100</v>
      </c>
      <c r="V30" s="3736" t="s">
        <v>13</v>
      </c>
      <c r="W30" s="3157">
        <f t="shared" si="14"/>
        <v>100</v>
      </c>
      <c r="X30" s="909"/>
      <c r="Y30" s="4550"/>
      <c r="Z30" s="907">
        <f t="shared" si="15"/>
        <v>111</v>
      </c>
      <c r="AA30" s="907">
        <f t="shared" si="3"/>
        <v>1</v>
      </c>
      <c r="AB30" s="907">
        <f t="shared" si="4"/>
        <v>1</v>
      </c>
      <c r="AC30" s="907">
        <f t="shared" si="5"/>
        <v>1</v>
      </c>
    </row>
    <row r="31" spans="1:29" ht="16" thickBot="1">
      <c r="A31" s="260"/>
      <c r="B31" s="2800">
        <v>111</v>
      </c>
      <c r="C31" s="2818"/>
      <c r="D31" s="2891">
        <v>100</v>
      </c>
      <c r="E31" s="2817"/>
      <c r="F31" s="3721">
        <f>SUMIF(98:98,E31,99:99)-SUMIF(98:98,C31,99:99)+100</f>
        <v>100</v>
      </c>
      <c r="G31" s="2817"/>
      <c r="H31" s="3728">
        <f>SUMIF(98:98,G31,99:99)-SUMIF(98:98,C31,99:99)+100</f>
        <v>100</v>
      </c>
      <c r="I31" s="2817"/>
      <c r="J31" s="3728">
        <f>SUMIF(98:98,I31,99:99)-SUMIF(98:98,C31,99:99)+100</f>
        <v>100</v>
      </c>
      <c r="K31" s="2858"/>
      <c r="L31" s="1980"/>
      <c r="M31" s="1975"/>
      <c r="N31" s="1975"/>
      <c r="O31" s="1975"/>
      <c r="P31" s="4557"/>
      <c r="Q31" s="1507">
        <f t="shared" si="11"/>
        <v>111</v>
      </c>
      <c r="R31" s="3736" t="s">
        <v>13</v>
      </c>
      <c r="S31" s="3157">
        <f t="shared" si="12"/>
        <v>100</v>
      </c>
      <c r="T31" s="3736" t="s">
        <v>13</v>
      </c>
      <c r="U31" s="3157">
        <f t="shared" si="13"/>
        <v>100</v>
      </c>
      <c r="V31" s="3736" t="s">
        <v>13</v>
      </c>
      <c r="W31" s="3157">
        <f t="shared" si="14"/>
        <v>100</v>
      </c>
      <c r="X31" s="909"/>
      <c r="Y31" s="4550"/>
      <c r="Z31" s="907">
        <f t="shared" si="15"/>
        <v>111</v>
      </c>
      <c r="AA31" s="907">
        <f t="shared" si="3"/>
        <v>1</v>
      </c>
      <c r="AB31" s="907">
        <f t="shared" si="4"/>
        <v>1</v>
      </c>
      <c r="AC31" s="907">
        <f t="shared" si="5"/>
        <v>1</v>
      </c>
    </row>
    <row r="32" spans="1:29" ht="15.5">
      <c r="A32" s="262" t="s">
        <v>1601</v>
      </c>
      <c r="B32" s="2792" t="s">
        <v>1691</v>
      </c>
      <c r="C32" s="2824"/>
      <c r="D32" s="2897">
        <v>100</v>
      </c>
      <c r="E32" s="2824"/>
      <c r="F32" s="3729">
        <f>SUMIF(100:100,E32,101:101)-SUMIF(100:100,C32,101:101)+100</f>
        <v>100</v>
      </c>
      <c r="G32" s="2824"/>
      <c r="H32" s="3726">
        <f>SUMIF(100:100,G32,101:101)-SUMIF(100:100,C32,101:101)+100</f>
        <v>100</v>
      </c>
      <c r="I32" s="2824"/>
      <c r="J32" s="3733">
        <f>SUMIF(100:100,I32,101:101)-SUMIF(100:100,C32,101:101)+100</f>
        <v>100</v>
      </c>
      <c r="K32" s="2857"/>
      <c r="L32" s="1980"/>
      <c r="M32" s="1975"/>
      <c r="N32" s="1975"/>
      <c r="O32" s="1975"/>
      <c r="P32" s="4551" t="s">
        <v>1603</v>
      </c>
      <c r="Q32" s="1507" t="str">
        <f t="shared" si="11"/>
        <v>商业类型</v>
      </c>
      <c r="R32" s="3736" t="s">
        <v>13</v>
      </c>
      <c r="S32" s="3157">
        <f t="shared" si="12"/>
        <v>100</v>
      </c>
      <c r="T32" s="3736" t="s">
        <v>13</v>
      </c>
      <c r="U32" s="3157">
        <f t="shared" si="13"/>
        <v>100</v>
      </c>
      <c r="V32" s="3736" t="s">
        <v>13</v>
      </c>
      <c r="W32" s="3157">
        <f t="shared" si="14"/>
        <v>100</v>
      </c>
      <c r="X32" s="909"/>
      <c r="Y32" s="4554" t="s">
        <v>1603</v>
      </c>
      <c r="Z32" s="907" t="str">
        <f t="shared" si="15"/>
        <v>商业类型</v>
      </c>
      <c r="AA32" s="907">
        <f t="shared" si="3"/>
        <v>1</v>
      </c>
      <c r="AB32" s="907">
        <f t="shared" si="4"/>
        <v>1</v>
      </c>
      <c r="AC32" s="907">
        <f t="shared" si="5"/>
        <v>1</v>
      </c>
    </row>
    <row r="33" spans="1:29" s="279" customFormat="1" ht="15.5">
      <c r="A33" s="277"/>
      <c r="B33" s="2789" t="s">
        <v>1604</v>
      </c>
      <c r="C33" s="2825"/>
      <c r="D33" s="2888">
        <v>100</v>
      </c>
      <c r="E33" s="2843"/>
      <c r="F33" s="3720" t="e">
        <f>LOOKUP(E33,103:103,104:104)-LOOKUP(C33,103:103,104:104)+100</f>
        <v>#N/A</v>
      </c>
      <c r="G33" s="2815"/>
      <c r="H33" s="3732" t="e">
        <f>LOOKUP(G33,103:103,104:104)-LOOKUP(C33,103:103,104:104)+100</f>
        <v>#N/A</v>
      </c>
      <c r="I33" s="2815"/>
      <c r="J33" s="3732" t="e">
        <f>LOOKUP(I33,103:103,104:104)-LOOKUP(C33,103:103,104:104)+100</f>
        <v>#N/A</v>
      </c>
      <c r="K33" s="2858"/>
      <c r="L33" s="1979"/>
      <c r="M33" s="1981"/>
      <c r="N33" s="1981"/>
      <c r="O33" s="1981"/>
      <c r="P33" s="4552"/>
      <c r="Q33" s="2864" t="str">
        <f t="shared" si="11"/>
        <v>项目建筑规模</v>
      </c>
      <c r="R33" s="3737" t="s">
        <v>13</v>
      </c>
      <c r="S33" s="3158" t="e">
        <f t="shared" si="12"/>
        <v>#N/A</v>
      </c>
      <c r="T33" s="3737" t="s">
        <v>13</v>
      </c>
      <c r="U33" s="3158" t="e">
        <f t="shared" si="13"/>
        <v>#N/A</v>
      </c>
      <c r="V33" s="3737" t="s">
        <v>13</v>
      </c>
      <c r="W33" s="3158" t="e">
        <f t="shared" si="14"/>
        <v>#N/A</v>
      </c>
      <c r="X33" s="484"/>
      <c r="Y33" s="4554"/>
      <c r="Z33" s="485" t="str">
        <f t="shared" si="15"/>
        <v>项目建筑规模</v>
      </c>
      <c r="AA33" s="907" t="e">
        <f t="shared" si="3"/>
        <v>#N/A</v>
      </c>
      <c r="AB33" s="907" t="e">
        <f t="shared" si="4"/>
        <v>#N/A</v>
      </c>
      <c r="AC33" s="907" t="e">
        <f t="shared" si="5"/>
        <v>#N/A</v>
      </c>
    </row>
    <row r="34" spans="1:29" ht="15.5">
      <c r="A34" s="280"/>
      <c r="B34" s="2789" t="s">
        <v>1605</v>
      </c>
      <c r="C34" s="2823"/>
      <c r="D34" s="2890">
        <v>100</v>
      </c>
      <c r="E34" s="2823"/>
      <c r="F34" s="3729">
        <f>SUMIF(105:105,E34,106:106)-SUMIF(105:105,C34,106:106)+100</f>
        <v>100</v>
      </c>
      <c r="G34" s="2823"/>
      <c r="H34" s="3726">
        <f>SUMIF(105:105,G34,106:106)-SUMIF(105:105,C34,106:106)+100</f>
        <v>100</v>
      </c>
      <c r="I34" s="2823"/>
      <c r="J34" s="3726">
        <f>SUMIF(105:105,I34,106:106)-SUMIF(105:105,C34,106:106)+100</f>
        <v>100</v>
      </c>
      <c r="K34" s="2857"/>
      <c r="L34" s="1980"/>
      <c r="M34" s="1975"/>
      <c r="N34" s="1975"/>
      <c r="O34" s="1975"/>
      <c r="P34" s="4552"/>
      <c r="Q34" s="1507" t="str">
        <f t="shared" si="11"/>
        <v>建筑结构</v>
      </c>
      <c r="R34" s="3736" t="s">
        <v>13</v>
      </c>
      <c r="S34" s="3157">
        <f t="shared" si="12"/>
        <v>100</v>
      </c>
      <c r="T34" s="3736" t="s">
        <v>13</v>
      </c>
      <c r="U34" s="3157">
        <f t="shared" si="13"/>
        <v>100</v>
      </c>
      <c r="V34" s="3736" t="s">
        <v>13</v>
      </c>
      <c r="W34" s="3157">
        <f t="shared" si="14"/>
        <v>100</v>
      </c>
      <c r="X34" s="909"/>
      <c r="Y34" s="4554"/>
      <c r="Z34" s="907" t="str">
        <f t="shared" si="15"/>
        <v>建筑结构</v>
      </c>
      <c r="AA34" s="907">
        <f t="shared" si="3"/>
        <v>1</v>
      </c>
      <c r="AB34" s="907">
        <f t="shared" si="4"/>
        <v>1</v>
      </c>
      <c r="AC34" s="907">
        <f t="shared" si="5"/>
        <v>1</v>
      </c>
    </row>
    <row r="35" spans="1:29" ht="15.5">
      <c r="A35" s="280"/>
      <c r="B35" s="2789" t="s">
        <v>1692</v>
      </c>
      <c r="C35" s="2826"/>
      <c r="D35" s="2890">
        <v>100</v>
      </c>
      <c r="E35" s="2826"/>
      <c r="F35" s="3729">
        <f>SUMIF(107:107,E35,108:108)-SUMIF(107:107,C35,108:108)+100</f>
        <v>100</v>
      </c>
      <c r="G35" s="2826"/>
      <c r="H35" s="3726">
        <f>SUMIF(107:107,G35,108:108)-SUMIF(107:107,C35,108:108)+100</f>
        <v>100</v>
      </c>
      <c r="I35" s="2826"/>
      <c r="J35" s="3726">
        <f>SUMIF(107:107,I35,108:108)-SUMIF(107:107,C35,108:108)+100</f>
        <v>100</v>
      </c>
      <c r="K35" s="2857"/>
      <c r="L35" s="1980"/>
      <c r="M35" s="1975"/>
      <c r="N35" s="1975"/>
      <c r="O35" s="1975"/>
      <c r="P35" s="4552"/>
      <c r="Q35" s="1507" t="str">
        <f t="shared" si="11"/>
        <v>公共部分装修</v>
      </c>
      <c r="R35" s="3736" t="s">
        <v>13</v>
      </c>
      <c r="S35" s="3157">
        <f t="shared" si="12"/>
        <v>100</v>
      </c>
      <c r="T35" s="3736" t="s">
        <v>13</v>
      </c>
      <c r="U35" s="3157">
        <f t="shared" si="13"/>
        <v>100</v>
      </c>
      <c r="V35" s="3736" t="s">
        <v>13</v>
      </c>
      <c r="W35" s="3157">
        <f t="shared" si="14"/>
        <v>100</v>
      </c>
      <c r="X35" s="909"/>
      <c r="Y35" s="4554"/>
      <c r="Z35" s="907" t="str">
        <f t="shared" si="15"/>
        <v>公共部分装修</v>
      </c>
      <c r="AA35" s="907">
        <f t="shared" si="3"/>
        <v>1</v>
      </c>
      <c r="AB35" s="907">
        <f t="shared" si="4"/>
        <v>1</v>
      </c>
      <c r="AC35" s="907">
        <f t="shared" si="5"/>
        <v>1</v>
      </c>
    </row>
    <row r="36" spans="1:29" ht="15.5">
      <c r="A36" s="280"/>
      <c r="B36" s="2789" t="s">
        <v>1693</v>
      </c>
      <c r="C36" s="2827"/>
      <c r="D36" s="2890">
        <v>100</v>
      </c>
      <c r="E36" s="2827"/>
      <c r="F36" s="3729" t="e">
        <f>LOOKUP(E36,110:110,111:111)-LOOKUP(C36,110:110,111:111)+100</f>
        <v>#N/A</v>
      </c>
      <c r="G36" s="2827"/>
      <c r="H36" s="3729" t="e">
        <f>LOOKUP(G36,110:110,111:111)-LOOKUP(C36,110:110,111:111)+100</f>
        <v>#N/A</v>
      </c>
      <c r="I36" s="2827"/>
      <c r="J36" s="3726" t="e">
        <f>LOOKUP(I36,110:110,111:111)-LOOKUP(C36,110:110,111:111)+100</f>
        <v>#N/A</v>
      </c>
      <c r="K36" s="2857"/>
      <c r="L36" s="1980"/>
      <c r="M36" s="1975"/>
      <c r="N36" s="1975"/>
      <c r="O36" s="1975"/>
      <c r="P36" s="4552"/>
      <c r="Q36" s="1507" t="str">
        <f t="shared" si="11"/>
        <v>成新度</v>
      </c>
      <c r="R36" s="3736" t="s">
        <v>13</v>
      </c>
      <c r="S36" s="3157" t="e">
        <f t="shared" si="12"/>
        <v>#N/A</v>
      </c>
      <c r="T36" s="3736" t="s">
        <v>13</v>
      </c>
      <c r="U36" s="3157" t="e">
        <f t="shared" si="13"/>
        <v>#N/A</v>
      </c>
      <c r="V36" s="3736" t="s">
        <v>13</v>
      </c>
      <c r="W36" s="3157" t="e">
        <f t="shared" si="14"/>
        <v>#N/A</v>
      </c>
      <c r="X36" s="909"/>
      <c r="Y36" s="4554"/>
      <c r="Z36" s="907" t="str">
        <f t="shared" si="15"/>
        <v>成新度</v>
      </c>
      <c r="AA36" s="907" t="e">
        <f t="shared" si="3"/>
        <v>#N/A</v>
      </c>
      <c r="AB36" s="907" t="e">
        <f t="shared" si="4"/>
        <v>#N/A</v>
      </c>
      <c r="AC36" s="907" t="e">
        <f t="shared" si="5"/>
        <v>#N/A</v>
      </c>
    </row>
    <row r="37" spans="1:29" s="46" customFormat="1" ht="15.5">
      <c r="A37" s="281"/>
      <c r="B37" s="2789" t="s">
        <v>1694</v>
      </c>
      <c r="C37" s="2826"/>
      <c r="D37" s="2888">
        <v>100</v>
      </c>
      <c r="E37" s="2826"/>
      <c r="F37" s="3729">
        <f>SUMIF(112:112,E37,113:113)-SUMIF(112:112,C37,113:113)+100</f>
        <v>100</v>
      </c>
      <c r="G37" s="2826"/>
      <c r="H37" s="3726">
        <f>SUMIF(112:112,G37,113:113)-SUMIF(112:112,C37,113:113)+100</f>
        <v>100</v>
      </c>
      <c r="I37" s="2826"/>
      <c r="J37" s="3726">
        <f>SUMIF(112:112,I37,113:113)-SUMIF(112:112,C37,113:113)+100</f>
        <v>100</v>
      </c>
      <c r="K37" s="2857"/>
      <c r="L37" s="1976"/>
      <c r="M37" s="1929"/>
      <c r="N37" s="1929"/>
      <c r="O37" s="1929"/>
      <c r="P37" s="4552"/>
      <c r="Q37" s="1698" t="str">
        <f t="shared" si="11"/>
        <v>市政基础设施</v>
      </c>
      <c r="R37" s="3634" t="s">
        <v>13</v>
      </c>
      <c r="S37" s="3156">
        <f t="shared" si="12"/>
        <v>100</v>
      </c>
      <c r="T37" s="3634" t="s">
        <v>13</v>
      </c>
      <c r="U37" s="3156">
        <f t="shared" si="13"/>
        <v>100</v>
      </c>
      <c r="V37" s="3634" t="s">
        <v>13</v>
      </c>
      <c r="W37" s="3156">
        <f t="shared" si="14"/>
        <v>100</v>
      </c>
      <c r="X37" s="482"/>
      <c r="Y37" s="4554"/>
      <c r="Z37" s="28" t="str">
        <f t="shared" si="15"/>
        <v>市政基础设施</v>
      </c>
      <c r="AA37" s="28">
        <f t="shared" si="3"/>
        <v>1</v>
      </c>
      <c r="AB37" s="28">
        <f t="shared" si="4"/>
        <v>1</v>
      </c>
      <c r="AC37" s="28">
        <f t="shared" si="5"/>
        <v>1</v>
      </c>
    </row>
    <row r="38" spans="1:29" ht="15.5">
      <c r="A38" s="280"/>
      <c r="B38" s="2789" t="s">
        <v>1695</v>
      </c>
      <c r="C38" s="2826"/>
      <c r="D38" s="2890">
        <v>100</v>
      </c>
      <c r="E38" s="2826"/>
      <c r="F38" s="3729">
        <f>SUMIF(114:114,E38,115:115)-SUMIF(114:114,C38,115:115)+100</f>
        <v>100</v>
      </c>
      <c r="G38" s="2826"/>
      <c r="H38" s="3726">
        <f>SUMIF(114:114,G38,115:115)-SUMIF(114:114,C38,115:115)+100</f>
        <v>100</v>
      </c>
      <c r="I38" s="2826"/>
      <c r="J38" s="3726">
        <f>SUMIF(114:114,I38,115:115)-SUMIF(114:114,C38,115:115)+100</f>
        <v>100</v>
      </c>
      <c r="K38" s="2857"/>
      <c r="L38" s="1980"/>
      <c r="M38" s="1975"/>
      <c r="N38" s="1975"/>
      <c r="O38" s="1975"/>
      <c r="P38" s="4552" t="s">
        <v>1603</v>
      </c>
      <c r="Q38" s="1507" t="str">
        <f t="shared" si="11"/>
        <v>业态</v>
      </c>
      <c r="R38" s="3736" t="s">
        <v>13</v>
      </c>
      <c r="S38" s="3157">
        <f t="shared" si="12"/>
        <v>100</v>
      </c>
      <c r="T38" s="3736" t="s">
        <v>13</v>
      </c>
      <c r="U38" s="3157">
        <f t="shared" si="13"/>
        <v>100</v>
      </c>
      <c r="V38" s="3736" t="s">
        <v>13</v>
      </c>
      <c r="W38" s="3157">
        <f t="shared" si="14"/>
        <v>100</v>
      </c>
      <c r="X38" s="909"/>
      <c r="Y38" s="4554" t="s">
        <v>1603</v>
      </c>
      <c r="Z38" s="907" t="str">
        <f t="shared" si="15"/>
        <v>业态</v>
      </c>
      <c r="AA38" s="907">
        <f t="shared" si="3"/>
        <v>1</v>
      </c>
      <c r="AB38" s="907">
        <f t="shared" si="4"/>
        <v>1</v>
      </c>
      <c r="AC38" s="907">
        <f t="shared" si="5"/>
        <v>1</v>
      </c>
    </row>
    <row r="39" spans="1:29" ht="15.5">
      <c r="A39" s="280"/>
      <c r="B39" s="2789" t="s">
        <v>1696</v>
      </c>
      <c r="C39" s="2826"/>
      <c r="D39" s="2890">
        <v>100</v>
      </c>
      <c r="E39" s="2826"/>
      <c r="F39" s="3729">
        <f>SUMIF(116:116,E39,117:117)-SUMIF(116:116,C39,117:117)+100</f>
        <v>100</v>
      </c>
      <c r="G39" s="2826"/>
      <c r="H39" s="3726">
        <f>SUMIF(116:116,G39,117:117)-SUMIF(116:116,C39,117:117)+100</f>
        <v>100</v>
      </c>
      <c r="I39" s="2826"/>
      <c r="J39" s="3726">
        <f>SUMIF(116:116,I39,117:117)-SUMIF(116:116,C39,117:117)+100</f>
        <v>100</v>
      </c>
      <c r="K39" s="2857"/>
      <c r="L39" s="1980"/>
      <c r="M39" s="1975"/>
      <c r="N39" s="1975"/>
      <c r="O39" s="1975"/>
      <c r="P39" s="4552"/>
      <c r="Q39" s="1507" t="str">
        <f t="shared" si="11"/>
        <v>层高</v>
      </c>
      <c r="R39" s="3736" t="s">
        <v>13</v>
      </c>
      <c r="S39" s="3157">
        <f t="shared" si="12"/>
        <v>100</v>
      </c>
      <c r="T39" s="3736" t="s">
        <v>13</v>
      </c>
      <c r="U39" s="3157">
        <f t="shared" si="13"/>
        <v>100</v>
      </c>
      <c r="V39" s="3736" t="s">
        <v>13</v>
      </c>
      <c r="W39" s="3157">
        <f t="shared" si="14"/>
        <v>100</v>
      </c>
      <c r="X39" s="909"/>
      <c r="Y39" s="4554"/>
      <c r="Z39" s="907" t="str">
        <f t="shared" si="15"/>
        <v>层高</v>
      </c>
      <c r="AA39" s="907">
        <f t="shared" si="3"/>
        <v>1</v>
      </c>
      <c r="AB39" s="907">
        <f t="shared" si="4"/>
        <v>1</v>
      </c>
      <c r="AC39" s="907">
        <f t="shared" si="5"/>
        <v>1</v>
      </c>
    </row>
    <row r="40" spans="1:29" ht="15.5">
      <c r="A40" s="280"/>
      <c r="B40" s="2789" t="s">
        <v>1697</v>
      </c>
      <c r="C40" s="2838"/>
      <c r="D40" s="2890">
        <v>100</v>
      </c>
      <c r="E40" s="2849"/>
      <c r="F40" s="3729">
        <f>SUMIF(118:118,E40,119:119)-SUMIF(118:118,C40,119:119)+100</f>
        <v>100</v>
      </c>
      <c r="G40" s="2849"/>
      <c r="H40" s="3726">
        <f>SUMIF(118:118,G40,119:119)-SUMIF(118:118,C40,119:119)+100</f>
        <v>100</v>
      </c>
      <c r="I40" s="2849"/>
      <c r="J40" s="3726">
        <f>SUMIF(118:118,I40,119:119)-SUMIF(118:118,C40,119:119)+100</f>
        <v>100</v>
      </c>
      <c r="K40" s="2858"/>
      <c r="L40" s="1980"/>
      <c r="M40" s="1975"/>
      <c r="N40" s="1975"/>
      <c r="O40" s="1975"/>
      <c r="P40" s="4552"/>
      <c r="Q40" s="1507" t="str">
        <f t="shared" si="11"/>
        <v>单套建筑面积</v>
      </c>
      <c r="R40" s="3736" t="s">
        <v>13</v>
      </c>
      <c r="S40" s="3157">
        <f t="shared" si="12"/>
        <v>100</v>
      </c>
      <c r="T40" s="3736" t="s">
        <v>13</v>
      </c>
      <c r="U40" s="3157">
        <f t="shared" si="13"/>
        <v>100</v>
      </c>
      <c r="V40" s="3736" t="s">
        <v>13</v>
      </c>
      <c r="W40" s="3157">
        <f t="shared" si="14"/>
        <v>100</v>
      </c>
      <c r="X40" s="909"/>
      <c r="Y40" s="4554"/>
      <c r="Z40" s="907" t="str">
        <f t="shared" si="15"/>
        <v>单套建筑面积</v>
      </c>
      <c r="AA40" s="907">
        <f t="shared" si="3"/>
        <v>1</v>
      </c>
      <c r="AB40" s="907">
        <f t="shared" si="4"/>
        <v>1</v>
      </c>
      <c r="AC40" s="907">
        <f t="shared" si="5"/>
        <v>1</v>
      </c>
    </row>
    <row r="41" spans="1:29" s="279" customFormat="1" ht="15.5">
      <c r="A41" s="277"/>
      <c r="B41" s="2839" t="s">
        <v>1698</v>
      </c>
      <c r="C41" s="2836"/>
      <c r="D41" s="2890">
        <v>100</v>
      </c>
      <c r="E41" s="2836"/>
      <c r="F41" s="3729">
        <f>SUMIF(120:120,E41,121:121)-SUMIF(120:120,C41,121:121)+100</f>
        <v>100</v>
      </c>
      <c r="G41" s="2836"/>
      <c r="H41" s="3726">
        <f>SUMIF(120:120,G41,121:121)-SUMIF(120:120,C41,121:121)+100</f>
        <v>100</v>
      </c>
      <c r="I41" s="2836"/>
      <c r="J41" s="3726">
        <f>SUMIF(120:120,I41,121:121)-SUMIF(120:120,C41,121:121)+100</f>
        <v>100</v>
      </c>
      <c r="K41" s="2857"/>
      <c r="L41" s="1979"/>
      <c r="M41" s="1981"/>
      <c r="N41" s="1981"/>
      <c r="O41" s="1981"/>
      <c r="P41" s="4552"/>
      <c r="Q41" s="2864" t="str">
        <f t="shared" si="11"/>
        <v>进深比</v>
      </c>
      <c r="R41" s="3737" t="s">
        <v>13</v>
      </c>
      <c r="S41" s="3158">
        <f t="shared" si="12"/>
        <v>100</v>
      </c>
      <c r="T41" s="3737" t="s">
        <v>13</v>
      </c>
      <c r="U41" s="3158">
        <f t="shared" si="13"/>
        <v>100</v>
      </c>
      <c r="V41" s="3737" t="s">
        <v>13</v>
      </c>
      <c r="W41" s="3158">
        <f t="shared" si="14"/>
        <v>100</v>
      </c>
      <c r="X41" s="484"/>
      <c r="Y41" s="4554"/>
      <c r="Z41" s="485" t="str">
        <f t="shared" si="15"/>
        <v>进深比</v>
      </c>
      <c r="AA41" s="907">
        <f t="shared" si="3"/>
        <v>1</v>
      </c>
      <c r="AB41" s="907">
        <f t="shared" si="4"/>
        <v>1</v>
      </c>
      <c r="AC41" s="907">
        <f t="shared" si="5"/>
        <v>1</v>
      </c>
    </row>
    <row r="42" spans="1:29" ht="15.5">
      <c r="A42" s="280"/>
      <c r="B42" s="2789" t="s">
        <v>1699</v>
      </c>
      <c r="C42" s="2826"/>
      <c r="D42" s="2890">
        <v>100</v>
      </c>
      <c r="E42" s="2826"/>
      <c r="F42" s="3729">
        <f>SUMIF(122:122,E42,123:123)-SUMIF(122:122,C42,123:123)+100</f>
        <v>100</v>
      </c>
      <c r="G42" s="2826"/>
      <c r="H42" s="3726">
        <f>SUMIF(122:122,G42,123:123)-SUMIF(122:122,C42,123:123)+100</f>
        <v>100</v>
      </c>
      <c r="I42" s="2826"/>
      <c r="J42" s="3726">
        <f>SUMIF(122:122,I42,123:123)-SUMIF(122:122,C42,123:123)+100</f>
        <v>100</v>
      </c>
      <c r="K42" s="2857"/>
      <c r="L42" s="1980"/>
      <c r="M42" s="1975"/>
      <c r="N42" s="1975"/>
      <c r="O42" s="1975"/>
      <c r="P42" s="4552"/>
      <c r="Q42" s="1507" t="str">
        <f t="shared" si="11"/>
        <v>内部装修</v>
      </c>
      <c r="R42" s="3736" t="s">
        <v>13</v>
      </c>
      <c r="S42" s="3157">
        <f t="shared" si="12"/>
        <v>100</v>
      </c>
      <c r="T42" s="3736" t="s">
        <v>13</v>
      </c>
      <c r="U42" s="3157">
        <f t="shared" si="13"/>
        <v>100</v>
      </c>
      <c r="V42" s="3736" t="s">
        <v>13</v>
      </c>
      <c r="W42" s="3157">
        <f t="shared" si="14"/>
        <v>100</v>
      </c>
      <c r="X42" s="909"/>
      <c r="Y42" s="4554"/>
      <c r="Z42" s="907" t="str">
        <f t="shared" si="15"/>
        <v>内部装修</v>
      </c>
      <c r="AA42" s="907">
        <f t="shared" si="3"/>
        <v>1</v>
      </c>
      <c r="AB42" s="907">
        <f t="shared" si="4"/>
        <v>1</v>
      </c>
      <c r="AC42" s="907">
        <f t="shared" si="5"/>
        <v>1</v>
      </c>
    </row>
    <row r="43" spans="1:29" ht="28">
      <c r="A43" s="280"/>
      <c r="B43" s="2789" t="s">
        <v>1614</v>
      </c>
      <c r="C43" s="2826"/>
      <c r="D43" s="2890">
        <v>100</v>
      </c>
      <c r="E43" s="2826"/>
      <c r="F43" s="3729">
        <f>SUMIF(124:124,E43,125:125)-SUMIF(124:124,C43,125:125)+100</f>
        <v>100</v>
      </c>
      <c r="G43" s="2826"/>
      <c r="H43" s="3726">
        <f>SUMIF(124:124,G43,125:125)-SUMIF(124:124,C43,125:125)+100</f>
        <v>100</v>
      </c>
      <c r="I43" s="2826"/>
      <c r="J43" s="3726">
        <f>SUMIF(124:124,I43,125:125)-SUMIF(124:124,C43,125:125)+100</f>
        <v>100</v>
      </c>
      <c r="K43" s="2857"/>
      <c r="L43" s="1980"/>
      <c r="M43" s="1975"/>
      <c r="N43" s="1975"/>
      <c r="O43" s="1975"/>
      <c r="P43" s="4552"/>
      <c r="Q43" s="1507" t="str">
        <f t="shared" si="11"/>
        <v>内部装修维护情况</v>
      </c>
      <c r="R43" s="3736" t="s">
        <v>13</v>
      </c>
      <c r="S43" s="3157">
        <f t="shared" si="12"/>
        <v>100</v>
      </c>
      <c r="T43" s="3736" t="s">
        <v>13</v>
      </c>
      <c r="U43" s="3157">
        <f t="shared" si="13"/>
        <v>100</v>
      </c>
      <c r="V43" s="3736" t="s">
        <v>13</v>
      </c>
      <c r="W43" s="3157">
        <f t="shared" si="14"/>
        <v>100</v>
      </c>
      <c r="X43" s="909"/>
      <c r="Y43" s="4554"/>
      <c r="Z43" s="907" t="str">
        <f t="shared" si="15"/>
        <v>内部装修维护情况</v>
      </c>
      <c r="AA43" s="907">
        <f t="shared" si="3"/>
        <v>1</v>
      </c>
      <c r="AB43" s="907">
        <f t="shared" si="4"/>
        <v>1</v>
      </c>
      <c r="AC43" s="907">
        <f t="shared" si="5"/>
        <v>1</v>
      </c>
    </row>
    <row r="44" spans="1:29" s="46" customFormat="1" ht="15.5">
      <c r="A44" s="281"/>
      <c r="B44" s="2800">
        <v>111</v>
      </c>
      <c r="C44" s="2825"/>
      <c r="D44" s="2888">
        <v>100</v>
      </c>
      <c r="E44" s="2817"/>
      <c r="F44" s="3720">
        <f>SUMIF(126:126,E44,127:127)-SUMIF(126:126,C44,127:127)+100</f>
        <v>100</v>
      </c>
      <c r="G44" s="2817"/>
      <c r="H44" s="3732">
        <f>SUMIF(126:126,G44,127:127)-SUMIF(126:126,C44,127:127)+100</f>
        <v>100</v>
      </c>
      <c r="I44" s="2817"/>
      <c r="J44" s="3732">
        <f>SUMIF(126:126,I44,127:127)-SUMIF(126:126,C44,127:127)+100</f>
        <v>100</v>
      </c>
      <c r="K44" s="2858"/>
      <c r="L44" s="1976"/>
      <c r="M44" s="1929"/>
      <c r="N44" s="1929"/>
      <c r="O44" s="1929"/>
      <c r="P44" s="4552"/>
      <c r="Q44" s="1698">
        <f t="shared" si="11"/>
        <v>111</v>
      </c>
      <c r="R44" s="3634" t="s">
        <v>13</v>
      </c>
      <c r="S44" s="3156">
        <f t="shared" si="12"/>
        <v>100</v>
      </c>
      <c r="T44" s="3634" t="s">
        <v>13</v>
      </c>
      <c r="U44" s="3156">
        <f t="shared" si="13"/>
        <v>100</v>
      </c>
      <c r="V44" s="3634" t="s">
        <v>13</v>
      </c>
      <c r="W44" s="3156">
        <f t="shared" si="14"/>
        <v>100</v>
      </c>
      <c r="X44" s="482"/>
      <c r="Y44" s="4554"/>
      <c r="Z44" s="28">
        <f t="shared" si="15"/>
        <v>111</v>
      </c>
      <c r="AA44" s="28">
        <f t="shared" si="3"/>
        <v>1</v>
      </c>
      <c r="AB44" s="28">
        <f t="shared" si="4"/>
        <v>1</v>
      </c>
      <c r="AC44" s="28">
        <f t="shared" si="5"/>
        <v>1</v>
      </c>
    </row>
    <row r="45" spans="1:29" ht="15.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58"/>
      <c r="L45" s="1980"/>
      <c r="M45" s="1975"/>
      <c r="N45" s="1975"/>
      <c r="O45" s="1975"/>
      <c r="P45" s="4552"/>
      <c r="Q45" s="1507">
        <f t="shared" si="11"/>
        <v>111</v>
      </c>
      <c r="R45" s="3736" t="s">
        <v>13</v>
      </c>
      <c r="S45" s="3157">
        <f t="shared" si="12"/>
        <v>100</v>
      </c>
      <c r="T45" s="3736" t="s">
        <v>13</v>
      </c>
      <c r="U45" s="3157">
        <f t="shared" si="13"/>
        <v>100</v>
      </c>
      <c r="V45" s="3736" t="s">
        <v>13</v>
      </c>
      <c r="W45" s="3157">
        <f t="shared" si="14"/>
        <v>100</v>
      </c>
      <c r="X45" s="909"/>
      <c r="Y45" s="4554"/>
      <c r="Z45" s="907">
        <f t="shared" si="15"/>
        <v>111</v>
      </c>
      <c r="AA45" s="907">
        <f t="shared" si="3"/>
        <v>1</v>
      </c>
      <c r="AB45" s="907">
        <f t="shared" si="4"/>
        <v>1</v>
      </c>
      <c r="AC45" s="907">
        <f t="shared" si="5"/>
        <v>1</v>
      </c>
    </row>
    <row r="46" spans="1:29" ht="16" thickBot="1">
      <c r="A46" s="285"/>
      <c r="B46" s="2794">
        <v>111</v>
      </c>
      <c r="C46" s="2818"/>
      <c r="D46" s="2891">
        <v>100</v>
      </c>
      <c r="E46" s="2817"/>
      <c r="F46" s="3721">
        <f>SUMIF(130:130,E46,131:131)-SUMIF(130:130,C46,131:131)+100</f>
        <v>100</v>
      </c>
      <c r="G46" s="2817"/>
      <c r="H46" s="3728">
        <f>SUMIF(130:130,G46,131:131)-SUMIF(130:130,C46,131:131)+100</f>
        <v>100</v>
      </c>
      <c r="I46" s="2817"/>
      <c r="J46" s="3728">
        <f>SUMIF(130:130,I46,131:131)-SUMIF(130:130,C46,131:131)+100</f>
        <v>100</v>
      </c>
      <c r="K46" s="2858"/>
      <c r="L46" s="1980"/>
      <c r="M46" s="1975"/>
      <c r="N46" s="1975"/>
      <c r="O46" s="1975"/>
      <c r="P46" s="4553"/>
      <c r="Q46" s="1507">
        <f t="shared" si="11"/>
        <v>111</v>
      </c>
      <c r="R46" s="3736" t="s">
        <v>13</v>
      </c>
      <c r="S46" s="3157">
        <f t="shared" si="12"/>
        <v>100</v>
      </c>
      <c r="T46" s="3736" t="s">
        <v>13</v>
      </c>
      <c r="U46" s="3157">
        <f t="shared" si="13"/>
        <v>100</v>
      </c>
      <c r="V46" s="3736" t="s">
        <v>13</v>
      </c>
      <c r="W46" s="3157">
        <f t="shared" si="14"/>
        <v>100</v>
      </c>
      <c r="X46" s="909"/>
      <c r="Y46" s="4555"/>
      <c r="Z46" s="907">
        <f t="shared" si="15"/>
        <v>111</v>
      </c>
      <c r="AA46" s="907">
        <f t="shared" si="3"/>
        <v>1</v>
      </c>
      <c r="AB46" s="907">
        <f t="shared" si="4"/>
        <v>1</v>
      </c>
      <c r="AC46" s="907">
        <f t="shared" si="5"/>
        <v>1</v>
      </c>
    </row>
    <row r="47" spans="1:29">
      <c r="A47" s="286" t="s">
        <v>1615</v>
      </c>
      <c r="B47" s="287"/>
      <c r="C47" s="765" t="s">
        <v>0</v>
      </c>
      <c r="D47" s="288"/>
      <c r="E47" s="3205"/>
      <c r="F47" s="3153"/>
      <c r="G47" s="3206"/>
      <c r="H47" s="3154"/>
      <c r="I47" s="3205"/>
      <c r="J47" s="3154"/>
      <c r="K47" s="2862"/>
      <c r="L47" s="1982"/>
      <c r="M47" s="1975"/>
      <c r="N47" s="1975"/>
      <c r="O47" s="1975"/>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4.5" thickBot="1">
      <c r="A48" s="289" t="s">
        <v>1700</v>
      </c>
      <c r="B48" s="290"/>
      <c r="C48" s="3734" t="e">
        <f>R49</f>
        <v>#DIV/0!</v>
      </c>
      <c r="D48" s="3847" t="s">
        <v>2042</v>
      </c>
      <c r="E48" s="3745" t="e">
        <f>R48</f>
        <v>#DIV/0!</v>
      </c>
      <c r="F48" s="2801"/>
      <c r="G48" s="3734" t="e">
        <f>T48</f>
        <v>#DIV/0!</v>
      </c>
      <c r="H48" s="2801"/>
      <c r="I48" s="3745" t="e">
        <f>V48</f>
        <v>#DIV/0!</v>
      </c>
      <c r="J48" s="2801"/>
      <c r="K48" s="2855">
        <f>F48+H48+J48</f>
        <v>0</v>
      </c>
      <c r="L48" s="1982"/>
      <c r="M48" s="1975"/>
      <c r="N48" s="1975"/>
      <c r="O48" s="1975"/>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4.5" thickBot="1">
      <c r="A49" s="291" t="s">
        <v>1701</v>
      </c>
      <c r="B49" s="292"/>
      <c r="C49" s="3746" t="e">
        <f>R49</f>
        <v>#DIV/0!</v>
      </c>
      <c r="D49" s="241"/>
      <c r="E49" s="241"/>
      <c r="F49" s="241"/>
      <c r="G49" s="241"/>
      <c r="H49" s="241"/>
      <c r="I49" s="241"/>
      <c r="J49" s="241"/>
      <c r="K49" s="487"/>
      <c r="L49" s="1982"/>
      <c r="M49" s="1975"/>
      <c r="N49" s="1975"/>
      <c r="O49" s="1975"/>
      <c r="P49" s="4544" t="str">
        <f>A49</f>
        <v>估价对象XX用房的比较价值（楼面单价，元/平方米）</v>
      </c>
      <c r="Q49" s="4545"/>
      <c r="R49" s="4546" t="e">
        <f>IF(F1="售价",ROUND(IF(D48="简单平均",AVERAGE(R48:V48),R48*F48+T48*H48+V48*J48),0),ROUND(IF(D48="简单平均",AVERAGE(R48:V48),R48*F48+T48*H48+V48*J48),1))</f>
        <v>#DIV/0!</v>
      </c>
      <c r="S49" s="4546"/>
      <c r="T49" s="4546"/>
      <c r="U49" s="4546"/>
      <c r="V49" s="4546"/>
      <c r="W49" s="454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8.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4.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4.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4.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4.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4.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4.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4.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4.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4.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4.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4.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4.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4.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M132"/>
  <sheetViews>
    <sheetView view="pageBreakPreview" topLeftCell="A35" zoomScale="80" zoomScaleNormal="70" zoomScaleSheetLayoutView="80" workbookViewId="0">
      <selection activeCell="D66" sqref="D66"/>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11.453125" style="585" bestFit="1" customWidth="1"/>
    <col min="17" max="17" width="18.7265625" style="237" bestFit="1" customWidth="1"/>
    <col min="18" max="20" width="12.7265625" style="237" bestFit="1" customWidth="1"/>
    <col min="21" max="25" width="11.453125" style="237" bestFit="1" customWidth="1"/>
    <col min="26" max="26" width="23.1796875" style="237" bestFit="1" customWidth="1"/>
    <col min="27" max="29" width="14.453125" style="237" bestFit="1" customWidth="1"/>
    <col min="30" max="32" width="12.7265625" style="237" bestFit="1" customWidth="1"/>
    <col min="33" max="35" width="11.453125" style="237" bestFit="1" customWidth="1"/>
    <col min="36" max="16384" width="9" style="237"/>
  </cols>
  <sheetData>
    <row r="1" spans="1:29" s="821" customFormat="1" ht="28.5" customHeight="1" thickBot="1">
      <c r="A1" s="810" t="s">
        <v>1567</v>
      </c>
      <c r="B1" s="1412" t="s">
        <v>1717</v>
      </c>
      <c r="C1" s="812" t="s">
        <v>1569</v>
      </c>
      <c r="D1" s="813" t="s">
        <v>19</v>
      </c>
      <c r="E1" s="2475" t="s">
        <v>4134</v>
      </c>
      <c r="F1" s="1353" t="s">
        <v>4135</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45068</v>
      </c>
      <c r="C2" s="2784" t="s">
        <v>4136</v>
      </c>
      <c r="D2" s="229">
        <f>IF(E1="项目模式",IF(E2="——",ROUND(C50*D3/10000,0),ROUND(C50*D3/10000,0)-F2),IF(E1="单套模式",IF(E2="——",ROUND(C50*D3/10000,4),ROUND(C50*D3/10000,4)-F2)))</f>
        <v>49124</v>
      </c>
      <c r="E2" s="1355" t="s">
        <v>41</v>
      </c>
      <c r="F2" s="3747"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40936</v>
      </c>
      <c r="C3" s="234" t="s">
        <v>1675</v>
      </c>
      <c r="D3" s="2880">
        <f>IF(D1="",'数据-汇总表'!E3,SUMIF('数据-汇总表'!$C19:$C33,D1,'数据-汇总表'!$E19:$E33))</f>
        <v>12000.23</v>
      </c>
      <c r="E3" s="3848" t="s">
        <v>3476</v>
      </c>
      <c r="F3" s="3849">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c r="A4" s="235" t="s">
        <v>1676</v>
      </c>
      <c r="B4" s="236"/>
      <c r="C4" s="4606" t="s">
        <v>1677</v>
      </c>
      <c r="D4" s="4607"/>
      <c r="E4" s="4608" t="s">
        <v>1678</v>
      </c>
      <c r="F4" s="4609"/>
      <c r="G4" s="4606" t="s">
        <v>1679</v>
      </c>
      <c r="H4" s="4607"/>
      <c r="I4" s="4606" t="s">
        <v>1680</v>
      </c>
      <c r="J4" s="4607"/>
      <c r="K4" s="393" t="s">
        <v>1681</v>
      </c>
      <c r="L4" s="1974"/>
      <c r="M4" s="1975"/>
      <c r="N4" s="1975"/>
      <c r="O4" s="1975"/>
      <c r="P4" s="4610" t="s">
        <v>1682</v>
      </c>
      <c r="Q4" s="4611"/>
      <c r="R4" s="4614" t="s">
        <v>1678</v>
      </c>
      <c r="S4" s="4615"/>
      <c r="T4" s="4614" t="s">
        <v>1679</v>
      </c>
      <c r="U4" s="4615"/>
      <c r="V4" s="4616" t="s">
        <v>1680</v>
      </c>
      <c r="W4" s="4616"/>
      <c r="X4" s="1413"/>
      <c r="Y4" s="4620" t="s">
        <v>1682</v>
      </c>
      <c r="Z4" s="4621"/>
      <c r="AA4" s="4632" t="s">
        <v>1678</v>
      </c>
      <c r="AB4" s="4632" t="s">
        <v>1679</v>
      </c>
      <c r="AC4" s="4603" t="s">
        <v>1680</v>
      </c>
    </row>
    <row r="5" spans="1:29" ht="14" customHeight="1">
      <c r="A5" s="238"/>
      <c r="B5" s="239"/>
      <c r="C5" s="4622" t="s">
        <v>4137</v>
      </c>
      <c r="D5" s="4623"/>
      <c r="E5" s="4629" t="s">
        <v>4173</v>
      </c>
      <c r="F5" s="4630"/>
      <c r="G5" s="4631" t="s">
        <v>4205</v>
      </c>
      <c r="H5" s="4628"/>
      <c r="I5" s="4627" t="s">
        <v>4170</v>
      </c>
      <c r="J5" s="4628"/>
      <c r="K5" s="393"/>
      <c r="L5" s="1974"/>
      <c r="M5" s="1975"/>
      <c r="N5" s="1975"/>
      <c r="O5" s="1975"/>
      <c r="P5" s="4612"/>
      <c r="Q5" s="4570"/>
      <c r="R5" s="4575"/>
      <c r="S5" s="4576"/>
      <c r="T5" s="4575"/>
      <c r="U5" s="4576"/>
      <c r="V5" s="4579"/>
      <c r="W5" s="4579"/>
      <c r="X5" s="909"/>
      <c r="Y5" s="4590"/>
      <c r="Z5" s="4591"/>
      <c r="AA5" s="4561"/>
      <c r="AB5" s="4561"/>
      <c r="AC5" s="4604"/>
    </row>
    <row r="6" spans="1:29" ht="15" thickBot="1">
      <c r="A6" s="240"/>
      <c r="B6" s="241"/>
      <c r="C6" s="4624" t="s">
        <v>1584</v>
      </c>
      <c r="D6" s="4618"/>
      <c r="E6" s="4625" t="s">
        <v>1584</v>
      </c>
      <c r="F6" s="4626"/>
      <c r="G6" s="4617" t="s">
        <v>4139</v>
      </c>
      <c r="H6" s="4618"/>
      <c r="I6" s="4617" t="s">
        <v>4138</v>
      </c>
      <c r="J6" s="4618"/>
      <c r="K6" s="393" t="s">
        <v>1585</v>
      </c>
      <c r="L6" s="1974"/>
      <c r="M6" s="1975"/>
      <c r="N6" s="1975"/>
      <c r="O6" s="1975"/>
      <c r="P6" s="4613"/>
      <c r="Q6" s="4572"/>
      <c r="R6" s="4575"/>
      <c r="S6" s="4576"/>
      <c r="T6" s="4577"/>
      <c r="U6" s="4578"/>
      <c r="V6" s="4579"/>
      <c r="W6" s="4579"/>
      <c r="X6" s="909"/>
      <c r="Y6" s="4592"/>
      <c r="Z6" s="4593"/>
      <c r="AA6" s="4562"/>
      <c r="AB6" s="4562"/>
      <c r="AC6" s="4605"/>
    </row>
    <row r="7" spans="1:29" s="46" customFormat="1" ht="14.5" thickBot="1">
      <c r="A7" s="242" t="s">
        <v>1586</v>
      </c>
      <c r="B7" s="243"/>
      <c r="C7" s="244">
        <f>'数据-取费表'!B2</f>
        <v>46090</v>
      </c>
      <c r="D7" s="2898">
        <v>100</v>
      </c>
      <c r="E7" s="245">
        <v>45536</v>
      </c>
      <c r="F7" s="3748">
        <f>SUMIF(59:59,YEAR(E7)&amp;"-"&amp;MONTH(E7),60:60)</f>
        <v>102</v>
      </c>
      <c r="G7" s="245">
        <v>45292</v>
      </c>
      <c r="H7" s="3754">
        <f>SUMIF(59:59,YEAR(G7)&amp;"-"&amp;MONTH(G7),60:60)</f>
        <v>102</v>
      </c>
      <c r="I7" s="245">
        <v>45078</v>
      </c>
      <c r="J7" s="3754">
        <f>SUMIF(59:59,YEAR(I7)&amp;"-"&amp;MONTH(I7),60:60)</f>
        <v>103</v>
      </c>
      <c r="K7" s="22"/>
      <c r="L7" s="1976"/>
      <c r="M7" s="1929"/>
      <c r="N7" s="1929"/>
      <c r="O7" s="1929"/>
      <c r="P7" s="4619" t="s">
        <v>1587</v>
      </c>
      <c r="Q7" s="4594"/>
      <c r="R7" s="3634" t="s">
        <v>13</v>
      </c>
      <c r="S7" s="3156">
        <f t="shared" ref="S7:S15" si="0">F7</f>
        <v>102</v>
      </c>
      <c r="T7" s="3634" t="s">
        <v>13</v>
      </c>
      <c r="U7" s="3156">
        <f t="shared" ref="U7:U15" si="1">H7</f>
        <v>102</v>
      </c>
      <c r="V7" s="3634" t="s">
        <v>13</v>
      </c>
      <c r="W7" s="3156">
        <f t="shared" ref="W7:W15" si="2">J7</f>
        <v>103</v>
      </c>
      <c r="X7" s="482"/>
      <c r="Y7" s="4586" t="s">
        <v>1587</v>
      </c>
      <c r="Z7" s="4587"/>
      <c r="AA7" s="28">
        <f>D7/F7</f>
        <v>0.98039215686274506</v>
      </c>
      <c r="AB7" s="28">
        <f>D7/H7</f>
        <v>0.98039215686274506</v>
      </c>
      <c r="AC7" s="545">
        <f>D7/J7</f>
        <v>0.970873786407767</v>
      </c>
    </row>
    <row r="8" spans="1:29" s="46" customFormat="1" ht="14.5" thickBot="1">
      <c r="A8" s="242" t="s">
        <v>1588</v>
      </c>
      <c r="B8" s="243"/>
      <c r="C8" s="246" t="s">
        <v>4140</v>
      </c>
      <c r="D8" s="2898">
        <v>100</v>
      </c>
      <c r="E8" s="246" t="s">
        <v>4140</v>
      </c>
      <c r="F8" s="3748">
        <f>SUMIF(62:62,E8,63:63)-SUMIF(62:62,C8,63:63)+100</f>
        <v>100</v>
      </c>
      <c r="G8" s="246" t="s">
        <v>4140</v>
      </c>
      <c r="H8" s="3754">
        <f>SUMIF(62:62,G8,63:63)-SUMIF(62:62,C8,63:63)+100</f>
        <v>100</v>
      </c>
      <c r="I8" s="246" t="s">
        <v>4140</v>
      </c>
      <c r="J8" s="3754">
        <f>SUMIF(62:62,I8,63:63)-SUMIF(62:62,C8,63:63)+100</f>
        <v>100</v>
      </c>
      <c r="K8" s="22"/>
      <c r="L8" s="1976"/>
      <c r="M8" s="1929"/>
      <c r="N8" s="1929"/>
      <c r="O8" s="1929"/>
      <c r="P8" s="4619" t="s">
        <v>1590</v>
      </c>
      <c r="Q8" s="4585"/>
      <c r="R8" s="3634" t="s">
        <v>13</v>
      </c>
      <c r="S8" s="3156">
        <f t="shared" si="0"/>
        <v>100</v>
      </c>
      <c r="T8" s="3634" t="s">
        <v>13</v>
      </c>
      <c r="U8" s="3156">
        <f t="shared" si="1"/>
        <v>100</v>
      </c>
      <c r="V8" s="3634" t="s">
        <v>13</v>
      </c>
      <c r="W8" s="3156">
        <f t="shared" si="2"/>
        <v>100</v>
      </c>
      <c r="X8" s="482"/>
      <c r="Y8" s="4586" t="s">
        <v>1590</v>
      </c>
      <c r="Z8" s="4587"/>
      <c r="AA8" s="28">
        <f t="shared" ref="AA8:AA47" si="3">D8/F8</f>
        <v>1</v>
      </c>
      <c r="AB8" s="28">
        <f t="shared" ref="AB8:AB47" si="4">D8/H8</f>
        <v>1</v>
      </c>
      <c r="AC8" s="545">
        <f t="shared" ref="AC8:AC47" si="5">D8/J8</f>
        <v>1</v>
      </c>
    </row>
    <row r="9" spans="1:29" s="46" customFormat="1">
      <c r="A9" s="247" t="s">
        <v>1591</v>
      </c>
      <c r="B9" s="34" t="s">
        <v>1592</v>
      </c>
      <c r="C9" s="4247" t="s">
        <v>4141</v>
      </c>
      <c r="D9" s="2899">
        <v>100</v>
      </c>
      <c r="E9" s="250" t="s">
        <v>4171</v>
      </c>
      <c r="F9" s="33">
        <f>SUMIF(64:64,E9,65:65)-SUMIF(64:64,C9,65:65)+100</f>
        <v>105</v>
      </c>
      <c r="G9" s="249" t="s">
        <v>4171</v>
      </c>
      <c r="H9" s="33">
        <f>SUMIF(64:64,G9,65:65)-SUMIF(64:64,C9,65:65)+100</f>
        <v>105</v>
      </c>
      <c r="I9" s="249" t="s">
        <v>4171</v>
      </c>
      <c r="J9" s="33">
        <f>SUMIF(64:64,I9,65:65)-SUMIF(64:64,C9,65:65)+100</f>
        <v>105</v>
      </c>
      <c r="K9" s="22"/>
      <c r="L9" s="1976"/>
      <c r="M9" s="1929"/>
      <c r="N9" s="1929"/>
      <c r="O9" s="1929"/>
      <c r="P9" s="4558" t="s">
        <v>1593</v>
      </c>
      <c r="Q9" s="1698" t="str">
        <f t="shared" ref="Q9:Q15" si="6">B9</f>
        <v>用途</v>
      </c>
      <c r="R9" s="3634" t="s">
        <v>13</v>
      </c>
      <c r="S9" s="3156">
        <f t="shared" si="0"/>
        <v>105</v>
      </c>
      <c r="T9" s="3634" t="s">
        <v>13</v>
      </c>
      <c r="U9" s="3156">
        <f t="shared" si="1"/>
        <v>105</v>
      </c>
      <c r="V9" s="3634" t="s">
        <v>13</v>
      </c>
      <c r="W9" s="3156">
        <f t="shared" si="2"/>
        <v>105</v>
      </c>
      <c r="X9" s="482"/>
      <c r="Y9" s="4559" t="s">
        <v>1594</v>
      </c>
      <c r="Z9" s="28" t="str">
        <f t="shared" ref="Z9:Z15" si="7">Q9</f>
        <v>用途</v>
      </c>
      <c r="AA9" s="28">
        <f t="shared" si="3"/>
        <v>0.95238095238095233</v>
      </c>
      <c r="AB9" s="28">
        <f t="shared" si="4"/>
        <v>0.95238095238095233</v>
      </c>
      <c r="AC9" s="545">
        <f t="shared" si="5"/>
        <v>0.95238095238095233</v>
      </c>
    </row>
    <row r="10" spans="1:29" s="253" customFormat="1" ht="28">
      <c r="A10" s="251"/>
      <c r="B10" s="252" t="s">
        <v>1595</v>
      </c>
      <c r="C10" s="2476" t="s">
        <v>4174</v>
      </c>
      <c r="D10" s="2900">
        <v>100</v>
      </c>
      <c r="E10" s="4269" t="s">
        <v>4175</v>
      </c>
      <c r="F10" s="422">
        <f>SUMIF(66:66,E10,67:67)-SUMIF(66:66,C10,67:67)+100</f>
        <v>110</v>
      </c>
      <c r="G10" s="4265" t="s">
        <v>4175</v>
      </c>
      <c r="H10" s="422">
        <f>SUMIF(66:66,G10,67:67)-SUMIF(66:66,C10,67:67)+100</f>
        <v>110</v>
      </c>
      <c r="I10" s="4262" t="s">
        <v>4175</v>
      </c>
      <c r="J10" s="422">
        <f>SUMIF(66:66,I10,67:67)-SUMIF(66:66,C10,67:67)+100</f>
        <v>110</v>
      </c>
      <c r="K10" s="22"/>
      <c r="L10" s="1977"/>
      <c r="M10" s="1978"/>
      <c r="N10" s="1978"/>
      <c r="O10" s="1978"/>
      <c r="P10" s="4558"/>
      <c r="Q10" s="1698" t="str">
        <f t="shared" si="6"/>
        <v>土地使用年限（年）</v>
      </c>
      <c r="R10" s="3634" t="s">
        <v>13</v>
      </c>
      <c r="S10" s="3156">
        <f t="shared" si="0"/>
        <v>110</v>
      </c>
      <c r="T10" s="3634" t="s">
        <v>13</v>
      </c>
      <c r="U10" s="3156">
        <f t="shared" si="1"/>
        <v>110</v>
      </c>
      <c r="V10" s="3634" t="s">
        <v>13</v>
      </c>
      <c r="W10" s="3156">
        <f t="shared" si="2"/>
        <v>110</v>
      </c>
      <c r="X10" s="482"/>
      <c r="Y10" s="4559"/>
      <c r="Z10" s="28" t="str">
        <f t="shared" si="7"/>
        <v>土地使用年限（年）</v>
      </c>
      <c r="AA10" s="28">
        <f t="shared" si="3"/>
        <v>0.90909090909090906</v>
      </c>
      <c r="AB10" s="28">
        <f t="shared" si="4"/>
        <v>0.90909090909090906</v>
      </c>
      <c r="AC10" s="545">
        <f t="shared" si="5"/>
        <v>0.90909090909090906</v>
      </c>
    </row>
    <row r="11" spans="1:29" ht="15.5">
      <c r="A11" s="254"/>
      <c r="B11" s="252" t="s">
        <v>1596</v>
      </c>
      <c r="C11" s="255"/>
      <c r="D11" s="2900">
        <v>100</v>
      </c>
      <c r="E11" s="4264">
        <v>1</v>
      </c>
      <c r="F11" s="422">
        <f>LOOKUP(E11,69:69,70:70)-LOOKUP(C11,69:69,70:70)+100</f>
        <v>100</v>
      </c>
      <c r="G11" s="4266">
        <v>1</v>
      </c>
      <c r="H11" s="422">
        <f>LOOKUP(G11,69:69,70:70)-LOOKUP(C11,69:69,70:70)+100</f>
        <v>100</v>
      </c>
      <c r="I11" s="4264">
        <v>1</v>
      </c>
      <c r="J11" s="422">
        <f>LOOKUP(I11,69:69,70:70)-LOOKUP(C11,69:69,70:70)+100</f>
        <v>100</v>
      </c>
      <c r="K11" s="394"/>
      <c r="L11" s="1979"/>
      <c r="M11" s="1975"/>
      <c r="N11" s="1975"/>
      <c r="O11" s="1975"/>
      <c r="P11" s="4558"/>
      <c r="Q11" s="1698" t="str">
        <f t="shared" si="6"/>
        <v>容积率</v>
      </c>
      <c r="R11" s="3634" t="s">
        <v>13</v>
      </c>
      <c r="S11" s="3156">
        <f t="shared" si="0"/>
        <v>100</v>
      </c>
      <c r="T11" s="3634" t="s">
        <v>13</v>
      </c>
      <c r="U11" s="3156">
        <f t="shared" si="1"/>
        <v>100</v>
      </c>
      <c r="V11" s="3634" t="s">
        <v>13</v>
      </c>
      <c r="W11" s="3156">
        <f t="shared" si="2"/>
        <v>100</v>
      </c>
      <c r="X11" s="482"/>
      <c r="Y11" s="4559"/>
      <c r="Z11" s="28" t="str">
        <f t="shared" si="7"/>
        <v>容积率</v>
      </c>
      <c r="AA11" s="28">
        <f t="shared" si="3"/>
        <v>1</v>
      </c>
      <c r="AB11" s="28">
        <f t="shared" si="4"/>
        <v>1</v>
      </c>
      <c r="AC11" s="545">
        <f t="shared" si="5"/>
        <v>1</v>
      </c>
    </row>
    <row r="12" spans="1:29" s="46" customFormat="1" ht="15.5">
      <c r="A12" s="257"/>
      <c r="B12" s="310">
        <v>111</v>
      </c>
      <c r="C12" s="258"/>
      <c r="D12" s="2901">
        <v>100</v>
      </c>
      <c r="E12" s="4263">
        <v>2021</v>
      </c>
      <c r="F12" s="422">
        <f>SUMIF(71:71,E12,72:72)-SUMIF(71:71,C12,72:72)+100</f>
        <v>100</v>
      </c>
      <c r="G12" s="4267">
        <v>2021</v>
      </c>
      <c r="H12" s="422">
        <f>SUMIF(71:71,G12,72:72)-SUMIF(71:71,C12,72:72)+100</f>
        <v>100</v>
      </c>
      <c r="I12" s="4263">
        <v>2022</v>
      </c>
      <c r="J12" s="422">
        <f>SUMIF(71:71,I12,72:72)-SUMIF(71:71,C12,72:72)+100</f>
        <v>100</v>
      </c>
      <c r="K12" s="395"/>
      <c r="L12" s="1976"/>
      <c r="M12" s="1929"/>
      <c r="N12" s="1929"/>
      <c r="O12" s="1929"/>
      <c r="P12" s="4558"/>
      <c r="Q12" s="1698">
        <f t="shared" si="6"/>
        <v>111</v>
      </c>
      <c r="R12" s="3634" t="s">
        <v>13</v>
      </c>
      <c r="S12" s="3156">
        <f t="shared" si="0"/>
        <v>100</v>
      </c>
      <c r="T12" s="3634" t="s">
        <v>13</v>
      </c>
      <c r="U12" s="3156">
        <f t="shared" si="1"/>
        <v>100</v>
      </c>
      <c r="V12" s="3634" t="s">
        <v>13</v>
      </c>
      <c r="W12" s="3156">
        <f t="shared" si="2"/>
        <v>100</v>
      </c>
      <c r="X12" s="482"/>
      <c r="Y12" s="4559"/>
      <c r="Z12" s="28">
        <f t="shared" si="7"/>
        <v>111</v>
      </c>
      <c r="AA12" s="28">
        <f>D12/F12</f>
        <v>1</v>
      </c>
      <c r="AB12" s="28">
        <f>D12/H12</f>
        <v>1</v>
      </c>
      <c r="AC12" s="545">
        <f>D12/J12</f>
        <v>1</v>
      </c>
    </row>
    <row r="13" spans="1:29" ht="15.5">
      <c r="A13" s="254"/>
      <c r="B13" s="310">
        <v>111</v>
      </c>
      <c r="C13" s="259"/>
      <c r="D13" s="2902">
        <v>100</v>
      </c>
      <c r="E13" s="258"/>
      <c r="F13" s="422">
        <f>SUMIF(73:73,E13,74:74)-SUMIF(73:73,C13,74:74)+100</f>
        <v>100</v>
      </c>
      <c r="G13" s="1414"/>
      <c r="H13" s="3752">
        <f>SUMIF(73:73,G13,74:74)-SUMIF(73:73,C13,74:74)+100</f>
        <v>100</v>
      </c>
      <c r="I13" s="258"/>
      <c r="J13" s="3752">
        <f>SUMIF(73:73,I13,74:74)-SUMIF(73:73,C13,74:74)+100</f>
        <v>100</v>
      </c>
      <c r="K13" s="395"/>
      <c r="L13" s="1980"/>
      <c r="M13" s="1975"/>
      <c r="N13" s="1975"/>
      <c r="O13" s="1975"/>
      <c r="P13" s="4558"/>
      <c r="Q13" s="1698">
        <f t="shared" si="6"/>
        <v>111</v>
      </c>
      <c r="R13" s="3634" t="s">
        <v>13</v>
      </c>
      <c r="S13" s="3156">
        <f t="shared" si="0"/>
        <v>100</v>
      </c>
      <c r="T13" s="3634" t="s">
        <v>13</v>
      </c>
      <c r="U13" s="3156">
        <f t="shared" si="1"/>
        <v>100</v>
      </c>
      <c r="V13" s="3634" t="s">
        <v>13</v>
      </c>
      <c r="W13" s="3156">
        <f t="shared" si="2"/>
        <v>100</v>
      </c>
      <c r="X13" s="482"/>
      <c r="Y13" s="4559"/>
      <c r="Z13" s="28">
        <f t="shared" si="7"/>
        <v>111</v>
      </c>
      <c r="AA13" s="28">
        <f t="shared" si="3"/>
        <v>1</v>
      </c>
      <c r="AB13" s="28">
        <f t="shared" si="4"/>
        <v>1</v>
      </c>
      <c r="AC13" s="545">
        <f t="shared" si="5"/>
        <v>1</v>
      </c>
    </row>
    <row r="14" spans="1:29" ht="16" thickBot="1">
      <c r="A14" s="260"/>
      <c r="B14" s="1361">
        <v>111</v>
      </c>
      <c r="C14" s="261"/>
      <c r="D14" s="2903">
        <v>100</v>
      </c>
      <c r="E14" s="402"/>
      <c r="F14" s="3749">
        <f>SUMIF(75:75,E14,76:76)-SUMIF(75:75,C14,76:76)+100</f>
        <v>100</v>
      </c>
      <c r="G14" s="1414"/>
      <c r="H14" s="3749">
        <f>SUMIF(75:75,G14,76:76)-SUMIF(75:75,C14,76:76)+100</f>
        <v>100</v>
      </c>
      <c r="I14" s="258"/>
      <c r="J14" s="3749">
        <f>SUMIF(75:75,I14,76:76)-SUMIF(75:75,C14,76:76)+100</f>
        <v>100</v>
      </c>
      <c r="K14" s="395"/>
      <c r="L14" s="1980"/>
      <c r="M14" s="1975"/>
      <c r="N14" s="1975"/>
      <c r="O14" s="1975"/>
      <c r="P14" s="4558"/>
      <c r="Q14" s="1698">
        <f t="shared" si="6"/>
        <v>111</v>
      </c>
      <c r="R14" s="3634" t="s">
        <v>13</v>
      </c>
      <c r="S14" s="3156">
        <f t="shared" si="0"/>
        <v>100</v>
      </c>
      <c r="T14" s="3634" t="s">
        <v>13</v>
      </c>
      <c r="U14" s="3156">
        <f t="shared" si="1"/>
        <v>100</v>
      </c>
      <c r="V14" s="3634" t="s">
        <v>13</v>
      </c>
      <c r="W14" s="3156">
        <f t="shared" si="2"/>
        <v>100</v>
      </c>
      <c r="X14" s="482"/>
      <c r="Y14" s="4559"/>
      <c r="Z14" s="28">
        <f t="shared" si="7"/>
        <v>111</v>
      </c>
      <c r="AA14" s="28">
        <f t="shared" si="3"/>
        <v>1</v>
      </c>
      <c r="AB14" s="28">
        <f t="shared" si="4"/>
        <v>1</v>
      </c>
      <c r="AC14" s="545">
        <f t="shared" si="5"/>
        <v>1</v>
      </c>
    </row>
    <row r="15" spans="1:29" ht="84">
      <c r="A15" s="262" t="s">
        <v>1597</v>
      </c>
      <c r="B15" s="403" t="s">
        <v>1718</v>
      </c>
      <c r="C15" s="1415" t="str">
        <f>估价对象房地状况!C5</f>
        <v>估价对象位于XX商圈，周边办公楼项目较多，入驻率高，办公集聚程度较好</v>
      </c>
      <c r="D15" s="2904">
        <v>100</v>
      </c>
      <c r="E15" s="4257" t="s">
        <v>4199</v>
      </c>
      <c r="F15" s="3750">
        <f>SUMIF(77:77,E16,78:78)-SUMIF(77:77,C16,78:78)+100</f>
        <v>100</v>
      </c>
      <c r="G15" s="4249" t="s">
        <v>4143</v>
      </c>
      <c r="H15" s="3750">
        <f>SUMIF(77:77,G16,78:78)-SUMIF(77:77,C16,78:78)+100</f>
        <v>95</v>
      </c>
      <c r="I15" s="4249" t="s">
        <v>4144</v>
      </c>
      <c r="J15" s="3750">
        <f>SUMIF(77:77,I16,78:78)-SUMIF(77:77,C16,78:78)+100</f>
        <v>95</v>
      </c>
      <c r="K15" s="396">
        <v>5</v>
      </c>
      <c r="L15" s="1980"/>
      <c r="M15" s="1975"/>
      <c r="N15" s="1975"/>
      <c r="O15" s="1975"/>
      <c r="P15" s="4556" t="s">
        <v>1598</v>
      </c>
      <c r="Q15" s="1507" t="str">
        <f t="shared" si="6"/>
        <v>办公集聚程度</v>
      </c>
      <c r="R15" s="3736" t="s">
        <v>13</v>
      </c>
      <c r="S15" s="3157">
        <f t="shared" si="0"/>
        <v>100</v>
      </c>
      <c r="T15" s="3736" t="s">
        <v>13</v>
      </c>
      <c r="U15" s="3157">
        <f t="shared" si="1"/>
        <v>95</v>
      </c>
      <c r="V15" s="3736" t="s">
        <v>13</v>
      </c>
      <c r="W15" s="3157">
        <f t="shared" si="2"/>
        <v>95</v>
      </c>
      <c r="X15" s="909"/>
      <c r="Y15" s="4549" t="s">
        <v>1598</v>
      </c>
      <c r="Z15" s="907" t="str">
        <f t="shared" si="7"/>
        <v>办公集聚程度</v>
      </c>
      <c r="AA15" s="907">
        <f t="shared" si="3"/>
        <v>1</v>
      </c>
      <c r="AB15" s="907">
        <f t="shared" si="4"/>
        <v>1.0526315789473684</v>
      </c>
      <c r="AC15" s="1416">
        <f t="shared" si="5"/>
        <v>1.0526315789473684</v>
      </c>
    </row>
    <row r="16" spans="1:29" ht="15.5">
      <c r="A16" s="254"/>
      <c r="B16" s="404"/>
      <c r="C16" s="1368" t="s">
        <v>3612</v>
      </c>
      <c r="D16" s="2905"/>
      <c r="E16" s="266" t="s">
        <v>3612</v>
      </c>
      <c r="F16" s="267"/>
      <c r="G16" s="1368" t="s">
        <v>3611</v>
      </c>
      <c r="H16" s="268"/>
      <c r="I16" s="266" t="s">
        <v>3611</v>
      </c>
      <c r="J16" s="267"/>
      <c r="K16" s="397"/>
      <c r="L16" s="1980"/>
      <c r="M16" s="1975"/>
      <c r="N16" s="1975"/>
      <c r="O16" s="1975"/>
      <c r="P16" s="4557"/>
      <c r="Q16" s="1507"/>
      <c r="R16" s="3736"/>
      <c r="S16" s="3157"/>
      <c r="T16" s="3736"/>
      <c r="U16" s="3157"/>
      <c r="V16" s="3736"/>
      <c r="W16" s="3157"/>
      <c r="X16" s="909"/>
      <c r="Y16" s="4550"/>
      <c r="Z16" s="907"/>
      <c r="AA16" s="907">
        <v>1</v>
      </c>
      <c r="AB16" s="907">
        <v>1</v>
      </c>
      <c r="AC16" s="1416">
        <v>1</v>
      </c>
    </row>
    <row r="17" spans="1:29" ht="100.5">
      <c r="A17" s="254"/>
      <c r="B17" s="405" t="s">
        <v>1237</v>
      </c>
      <c r="C17" s="1417" t="str">
        <f>估价对象房地状况!C6</f>
        <v>估价对象周边道路状况、公共交通通达情况、停车便捷程度，综合评价交通便捷度较好</v>
      </c>
      <c r="D17" s="2906">
        <v>100</v>
      </c>
      <c r="E17" s="4256" t="s">
        <v>4200</v>
      </c>
      <c r="F17" s="268">
        <f>SUMIF(79:79,E18,80:80)-SUMIF(79:79,C18,80:80)+100</f>
        <v>100</v>
      </c>
      <c r="G17" s="4248" t="s">
        <v>4142</v>
      </c>
      <c r="H17" s="3751">
        <f>SUMIF(79:79,G18,80:80)-SUMIF(79:79,C18,80:80)+100</f>
        <v>97</v>
      </c>
      <c r="I17" s="4248" t="s">
        <v>4208</v>
      </c>
      <c r="J17" s="3751">
        <f>SUMIF(79:79,I18,80:80)-SUMIF(79:79,C18,80:80)+100</f>
        <v>97</v>
      </c>
      <c r="K17" s="396">
        <v>3</v>
      </c>
      <c r="L17" s="1980"/>
      <c r="M17" s="1975"/>
      <c r="N17" s="1975"/>
      <c r="O17" s="1975"/>
      <c r="P17" s="4557"/>
      <c r="Q17" s="1507" t="str">
        <f>B17</f>
        <v>交通便捷度</v>
      </c>
      <c r="R17" s="3736" t="s">
        <v>13</v>
      </c>
      <c r="S17" s="3157">
        <f>F17</f>
        <v>100</v>
      </c>
      <c r="T17" s="3736" t="s">
        <v>13</v>
      </c>
      <c r="U17" s="3157">
        <f>H17</f>
        <v>97</v>
      </c>
      <c r="V17" s="3736" t="s">
        <v>13</v>
      </c>
      <c r="W17" s="3157">
        <f>J17</f>
        <v>97</v>
      </c>
      <c r="X17" s="909"/>
      <c r="Y17" s="4550"/>
      <c r="Z17" s="907" t="str">
        <f>Q17</f>
        <v>交通便捷度</v>
      </c>
      <c r="AA17" s="907">
        <f t="shared" si="3"/>
        <v>1</v>
      </c>
      <c r="AB17" s="907">
        <f t="shared" si="4"/>
        <v>1.0309278350515463</v>
      </c>
      <c r="AC17" s="1416">
        <f t="shared" si="5"/>
        <v>1.0309278350515463</v>
      </c>
    </row>
    <row r="18" spans="1:29" ht="15.5">
      <c r="A18" s="254"/>
      <c r="B18" s="406"/>
      <c r="C18" s="1418" t="s">
        <v>3612</v>
      </c>
      <c r="D18" s="2906"/>
      <c r="E18" s="1366" t="s">
        <v>3612</v>
      </c>
      <c r="F18" s="268"/>
      <c r="G18" s="1367" t="s">
        <v>3611</v>
      </c>
      <c r="H18" s="267"/>
      <c r="I18" s="1367" t="s">
        <v>3611</v>
      </c>
      <c r="J18" s="267"/>
      <c r="K18" s="397"/>
      <c r="L18" s="1980"/>
      <c r="M18" s="1975"/>
      <c r="N18" s="1975"/>
      <c r="O18" s="1975"/>
      <c r="P18" s="4557"/>
      <c r="Q18" s="1507"/>
      <c r="R18" s="3736"/>
      <c r="S18" s="3157"/>
      <c r="T18" s="3736"/>
      <c r="U18" s="3157"/>
      <c r="V18" s="3736"/>
      <c r="W18" s="3157"/>
      <c r="X18" s="909"/>
      <c r="Y18" s="4550"/>
      <c r="Z18" s="907"/>
      <c r="AA18" s="907">
        <v>1</v>
      </c>
      <c r="AB18" s="907">
        <v>1</v>
      </c>
      <c r="AC18" s="1416">
        <v>1</v>
      </c>
    </row>
    <row r="19" spans="1:29" ht="182">
      <c r="A19" s="254"/>
      <c r="B19" s="405" t="s">
        <v>1719</v>
      </c>
      <c r="C19" s="1417" t="str">
        <f>估价对象房地状况!C7</f>
        <v>估价对象所在区域公共配套设施齐备情况</v>
      </c>
      <c r="D19" s="2907">
        <v>100</v>
      </c>
      <c r="E19" s="4254" t="s">
        <v>4201</v>
      </c>
      <c r="F19" s="3751">
        <f>SUMIF(81:81,E20,82:82)-SUMIF(81:81,C20,82:82)+100</f>
        <v>100</v>
      </c>
      <c r="G19" s="4250" t="s">
        <v>4145</v>
      </c>
      <c r="H19" s="268">
        <f>SUMIF(81:81,G20,82:82)-SUMIF(81:81,C20,82:82)+100</f>
        <v>97</v>
      </c>
      <c r="I19" s="4250" t="s">
        <v>4146</v>
      </c>
      <c r="J19" s="268">
        <f>SUMIF(81:81,I20,82:82)-SUMIF(81:81,C20,82:82)+100</f>
        <v>97</v>
      </c>
      <c r="K19" s="396">
        <v>3</v>
      </c>
      <c r="L19" s="1980"/>
      <c r="M19" s="1975"/>
      <c r="N19" s="1975"/>
      <c r="O19" s="1975"/>
      <c r="P19" s="4557"/>
      <c r="Q19" s="1507" t="str">
        <f>B19</f>
        <v>公共配套设施</v>
      </c>
      <c r="R19" s="3736" t="s">
        <v>13</v>
      </c>
      <c r="S19" s="3157">
        <f>F19</f>
        <v>100</v>
      </c>
      <c r="T19" s="3736" t="s">
        <v>13</v>
      </c>
      <c r="U19" s="3157">
        <f>H19</f>
        <v>97</v>
      </c>
      <c r="V19" s="3736" t="s">
        <v>13</v>
      </c>
      <c r="W19" s="3157">
        <f>J19</f>
        <v>97</v>
      </c>
      <c r="X19" s="909"/>
      <c r="Y19" s="4550"/>
      <c r="Z19" s="907" t="str">
        <f>Q19</f>
        <v>公共配套设施</v>
      </c>
      <c r="AA19" s="907">
        <f t="shared" si="3"/>
        <v>1</v>
      </c>
      <c r="AB19" s="907">
        <f t="shared" si="4"/>
        <v>1.0309278350515463</v>
      </c>
      <c r="AC19" s="1416">
        <f t="shared" si="5"/>
        <v>1.0309278350515463</v>
      </c>
    </row>
    <row r="20" spans="1:29" ht="15.5">
      <c r="A20" s="254"/>
      <c r="B20" s="406"/>
      <c r="C20" s="1368" t="s">
        <v>3612</v>
      </c>
      <c r="D20" s="2905"/>
      <c r="E20" s="1362" t="s">
        <v>3612</v>
      </c>
      <c r="F20" s="267"/>
      <c r="G20" s="1363" t="s">
        <v>3611</v>
      </c>
      <c r="H20" s="267"/>
      <c r="I20" s="1363" t="s">
        <v>3611</v>
      </c>
      <c r="J20" s="267"/>
      <c r="K20" s="397"/>
      <c r="L20" s="1980"/>
      <c r="M20" s="1975"/>
      <c r="N20" s="1975"/>
      <c r="O20" s="1975"/>
      <c r="P20" s="4557"/>
      <c r="Q20" s="1507"/>
      <c r="R20" s="3736"/>
      <c r="S20" s="3157"/>
      <c r="T20" s="3736"/>
      <c r="U20" s="3157"/>
      <c r="V20" s="3736"/>
      <c r="W20" s="3157"/>
      <c r="X20" s="909"/>
      <c r="Y20" s="4550"/>
      <c r="Z20" s="907"/>
      <c r="AA20" s="907">
        <v>1</v>
      </c>
      <c r="AB20" s="907">
        <v>1</v>
      </c>
      <c r="AC20" s="1416">
        <v>1</v>
      </c>
    </row>
    <row r="21" spans="1:29" ht="28">
      <c r="A21" s="254"/>
      <c r="B21" s="407" t="s">
        <v>1720</v>
      </c>
      <c r="C21" s="1417" t="str">
        <f>估价对象房地状况!C8</f>
        <v>估价对象所在区域基础设施水平</v>
      </c>
      <c r="D21" s="2906">
        <v>100</v>
      </c>
      <c r="E21" s="274"/>
      <c r="F21" s="3751">
        <f>SUMIF(83:83,E22,84:84)-SUMIF(83:83,C22,84:84)+100</f>
        <v>100</v>
      </c>
      <c r="G21" s="273"/>
      <c r="H21" s="268">
        <f>SUMIF(83:83,G22,84:84)-SUMIF(83:83,C22,84:84)+100</f>
        <v>100</v>
      </c>
      <c r="I21" s="273"/>
      <c r="J21" s="268">
        <f>SUMIF(83:83,I22,84:84)-SUMIF(83:83,C22,84:84)+100</f>
        <v>100</v>
      </c>
      <c r="K21" s="396">
        <v>1</v>
      </c>
      <c r="L21" s="1980"/>
      <c r="M21" s="1975"/>
      <c r="N21" s="1975"/>
      <c r="O21" s="1975"/>
      <c r="P21" s="4557"/>
      <c r="Q21" s="1507" t="str">
        <f>B21</f>
        <v>基础设施水平</v>
      </c>
      <c r="R21" s="3736" t="s">
        <v>13</v>
      </c>
      <c r="S21" s="3157">
        <f>F21</f>
        <v>100</v>
      </c>
      <c r="T21" s="3736" t="s">
        <v>13</v>
      </c>
      <c r="U21" s="3157">
        <f>H21</f>
        <v>100</v>
      </c>
      <c r="V21" s="3736" t="s">
        <v>13</v>
      </c>
      <c r="W21" s="3157">
        <f>J21</f>
        <v>100</v>
      </c>
      <c r="X21" s="909"/>
      <c r="Y21" s="4550"/>
      <c r="Z21" s="907" t="str">
        <f>Q21</f>
        <v>基础设施水平</v>
      </c>
      <c r="AA21" s="907">
        <f t="shared" ref="AA21" si="8">D21/F21</f>
        <v>1</v>
      </c>
      <c r="AB21" s="907">
        <f t="shared" ref="AB21" si="9">D21/H21</f>
        <v>1</v>
      </c>
      <c r="AC21" s="1416">
        <f t="shared" ref="AC21" si="10">D21/J21</f>
        <v>1</v>
      </c>
    </row>
    <row r="22" spans="1:29" ht="15.5">
      <c r="A22" s="254"/>
      <c r="B22" s="407"/>
      <c r="C22" s="1418" t="s">
        <v>3613</v>
      </c>
      <c r="D22" s="2905"/>
      <c r="E22" s="266" t="s">
        <v>3613</v>
      </c>
      <c r="F22" s="267"/>
      <c r="G22" s="1368" t="s">
        <v>3613</v>
      </c>
      <c r="H22" s="267"/>
      <c r="I22" s="1368" t="s">
        <v>3613</v>
      </c>
      <c r="J22" s="267"/>
      <c r="K22" s="758"/>
      <c r="L22" s="1980"/>
      <c r="M22" s="1975"/>
      <c r="N22" s="1975"/>
      <c r="O22" s="1975"/>
      <c r="P22" s="4557"/>
      <c r="Q22" s="1507"/>
      <c r="R22" s="3736"/>
      <c r="S22" s="3157"/>
      <c r="T22" s="3736"/>
      <c r="U22" s="3157"/>
      <c r="V22" s="3736"/>
      <c r="W22" s="3157"/>
      <c r="X22" s="909"/>
      <c r="Y22" s="4550"/>
      <c r="Z22" s="907"/>
      <c r="AA22" s="907">
        <v>1</v>
      </c>
      <c r="AB22" s="907">
        <v>1</v>
      </c>
      <c r="AC22" s="1416">
        <v>1</v>
      </c>
    </row>
    <row r="23" spans="1:29" ht="98">
      <c r="A23" s="254"/>
      <c r="B23" s="405" t="s">
        <v>1721</v>
      </c>
      <c r="C23" s="1417" t="str">
        <f>估价对象房地状况!C9</f>
        <v>区域自然环境：；人文环境；综合评价环境状况一般</v>
      </c>
      <c r="D23" s="2906">
        <v>100</v>
      </c>
      <c r="E23" s="4258" t="s">
        <v>4198</v>
      </c>
      <c r="F23" s="268">
        <f>SUMIF(85:85,E24,86:86)-SUMIF(85:85,C24,86:86)+100</f>
        <v>100</v>
      </c>
      <c r="G23" s="4251" t="s">
        <v>4147</v>
      </c>
      <c r="H23" s="268">
        <f>SUMIF(85:85,G24,86:86)-SUMIF(85:85,C24,86:86)+100</f>
        <v>98</v>
      </c>
      <c r="I23" s="4251" t="s">
        <v>4148</v>
      </c>
      <c r="J23" s="268">
        <f>SUMIF(85:85,I24,86:86)-SUMIF(85:85,C24,86:86)+100</f>
        <v>98</v>
      </c>
      <c r="K23" s="396">
        <v>2</v>
      </c>
      <c r="L23" s="1980"/>
      <c r="M23" s="1975"/>
      <c r="N23" s="1975"/>
      <c r="O23" s="1975"/>
      <c r="P23" s="4557"/>
      <c r="Q23" s="1507" t="str">
        <f>B23</f>
        <v>环境质量</v>
      </c>
      <c r="R23" s="3736" t="s">
        <v>13</v>
      </c>
      <c r="S23" s="3157">
        <f>F23</f>
        <v>100</v>
      </c>
      <c r="T23" s="3736" t="s">
        <v>13</v>
      </c>
      <c r="U23" s="3157">
        <f>H23</f>
        <v>98</v>
      </c>
      <c r="V23" s="3736" t="s">
        <v>13</v>
      </c>
      <c r="W23" s="3157">
        <f>J23</f>
        <v>98</v>
      </c>
      <c r="X23" s="909"/>
      <c r="Y23" s="4550"/>
      <c r="Z23" s="907" t="str">
        <f>Q23</f>
        <v>环境质量</v>
      </c>
      <c r="AA23" s="907">
        <f t="shared" si="3"/>
        <v>1</v>
      </c>
      <c r="AB23" s="907">
        <f t="shared" si="4"/>
        <v>1.0204081632653061</v>
      </c>
      <c r="AC23" s="1416">
        <f t="shared" si="5"/>
        <v>1.0204081632653061</v>
      </c>
    </row>
    <row r="24" spans="1:29" ht="15.5">
      <c r="A24" s="254"/>
      <c r="B24" s="407"/>
      <c r="C24" s="1368" t="s">
        <v>3612</v>
      </c>
      <c r="D24" s="2905"/>
      <c r="E24" s="1362" t="s">
        <v>3612</v>
      </c>
      <c r="F24" s="267"/>
      <c r="G24" s="1363" t="s">
        <v>3611</v>
      </c>
      <c r="H24" s="267"/>
      <c r="I24" s="1363" t="s">
        <v>3611</v>
      </c>
      <c r="J24" s="267"/>
      <c r="K24" s="397"/>
      <c r="L24" s="1980"/>
      <c r="M24" s="1975"/>
      <c r="N24" s="1975"/>
      <c r="O24" s="1975"/>
      <c r="P24" s="4557"/>
      <c r="Q24" s="1507"/>
      <c r="R24" s="3736"/>
      <c r="S24" s="3157"/>
      <c r="T24" s="3736"/>
      <c r="U24" s="3157"/>
      <c r="V24" s="3736"/>
      <c r="W24" s="3157"/>
      <c r="X24" s="909"/>
      <c r="Y24" s="4550"/>
      <c r="Z24" s="907"/>
      <c r="AA24" s="907">
        <v>1</v>
      </c>
      <c r="AB24" s="907">
        <v>1</v>
      </c>
      <c r="AC24" s="1416">
        <v>1</v>
      </c>
    </row>
    <row r="25" spans="1:29" ht="28">
      <c r="A25" s="238"/>
      <c r="B25" s="405" t="s">
        <v>1722</v>
      </c>
      <c r="C25" s="4255" t="s">
        <v>4203</v>
      </c>
      <c r="D25" s="2902">
        <v>100</v>
      </c>
      <c r="E25" s="4253" t="s">
        <v>4204</v>
      </c>
      <c r="F25" s="3752">
        <f>SUMIF(87:87,E26,88:88)-SUMIF(87:87,C26,88:88)+100</f>
        <v>99</v>
      </c>
      <c r="G25" s="4255" t="s">
        <v>4206</v>
      </c>
      <c r="H25" s="3752">
        <f>SUMIF(87:87,G26,88:88)-SUMIF(87:87,C26,88:88)+100</f>
        <v>98</v>
      </c>
      <c r="I25" s="4253" t="s">
        <v>4207</v>
      </c>
      <c r="J25" s="3752">
        <f>SUMIF(87:87,I26,88:88)-SUMIF(87:87,C26,88:88)+100</f>
        <v>98</v>
      </c>
      <c r="K25" s="396">
        <v>1</v>
      </c>
      <c r="L25" s="1980"/>
      <c r="M25" s="1975"/>
      <c r="N25" s="1975"/>
      <c r="O25" s="1975"/>
      <c r="P25" s="4557"/>
      <c r="Q25" s="1507" t="str">
        <f>B25</f>
        <v>毗邻道路的类型与等级</v>
      </c>
      <c r="R25" s="3736" t="s">
        <v>13</v>
      </c>
      <c r="S25" s="3157">
        <f>F25</f>
        <v>99</v>
      </c>
      <c r="T25" s="3736" t="s">
        <v>13</v>
      </c>
      <c r="U25" s="3157">
        <f>H25</f>
        <v>98</v>
      </c>
      <c r="V25" s="3736" t="s">
        <v>13</v>
      </c>
      <c r="W25" s="3157">
        <f>J25</f>
        <v>98</v>
      </c>
      <c r="X25" s="909"/>
      <c r="Y25" s="4550"/>
      <c r="Z25" s="907" t="str">
        <f>Q25</f>
        <v>毗邻道路的类型与等级</v>
      </c>
      <c r="AA25" s="907">
        <f t="shared" si="3"/>
        <v>1.0101010101010102</v>
      </c>
      <c r="AB25" s="907">
        <f t="shared" si="4"/>
        <v>1.0204081632653061</v>
      </c>
      <c r="AC25" s="1416">
        <f t="shared" si="5"/>
        <v>1.0204081632653061</v>
      </c>
    </row>
    <row r="26" spans="1:29" ht="15.5">
      <c r="A26" s="238"/>
      <c r="B26" s="406"/>
      <c r="C26" s="408" t="s">
        <v>4202</v>
      </c>
      <c r="D26" s="2902"/>
      <c r="E26" s="408" t="s">
        <v>4193</v>
      </c>
      <c r="F26" s="3752"/>
      <c r="G26" s="408" t="s">
        <v>4195</v>
      </c>
      <c r="H26" s="3752"/>
      <c r="I26" s="398" t="s">
        <v>4195</v>
      </c>
      <c r="J26" s="3752"/>
      <c r="K26" s="397"/>
      <c r="L26" s="1980"/>
      <c r="M26" s="1975"/>
      <c r="N26" s="1975"/>
      <c r="O26" s="1975"/>
      <c r="P26" s="4557"/>
      <c r="Q26" s="1507"/>
      <c r="R26" s="3736"/>
      <c r="S26" s="3157"/>
      <c r="T26" s="3736"/>
      <c r="U26" s="3157"/>
      <c r="V26" s="3736"/>
      <c r="W26" s="3157"/>
      <c r="X26" s="909"/>
      <c r="Y26" s="4550"/>
      <c r="Z26" s="907"/>
      <c r="AA26" s="907">
        <v>1</v>
      </c>
      <c r="AB26" s="907">
        <v>1</v>
      </c>
      <c r="AC26" s="1416">
        <v>1</v>
      </c>
    </row>
    <row r="27" spans="1:29" ht="15.5">
      <c r="A27" s="254"/>
      <c r="B27" s="406" t="s">
        <v>1690</v>
      </c>
      <c r="C27" s="408"/>
      <c r="D27" s="2902">
        <v>100</v>
      </c>
      <c r="E27" s="398"/>
      <c r="F27" s="3752">
        <f>SUMIF(89:89,E27,90:90)-SUMIF(89:89,C27,90:90)+100</f>
        <v>100</v>
      </c>
      <c r="G27" s="408"/>
      <c r="H27" s="3752">
        <f>SUMIF(89:89,G27,90:90)-SUMIF(89:89,C27,90:90)+100</f>
        <v>100</v>
      </c>
      <c r="I27" s="398"/>
      <c r="J27" s="3752">
        <f>SUMIF(89:89,I27,90:90)-SUMIF(89:89,C27,90:90)+100</f>
        <v>100</v>
      </c>
      <c r="K27" s="394"/>
      <c r="L27" s="1980"/>
      <c r="M27" s="1975"/>
      <c r="N27" s="1975"/>
      <c r="O27" s="1975"/>
      <c r="P27" s="4557"/>
      <c r="Q27" s="1507" t="str">
        <f t="shared" ref="Q27:Q47" si="11">B27</f>
        <v>楼层</v>
      </c>
      <c r="R27" s="3736" t="s">
        <v>13</v>
      </c>
      <c r="S27" s="3157">
        <f>F27</f>
        <v>100</v>
      </c>
      <c r="T27" s="3736" t="s">
        <v>13</v>
      </c>
      <c r="U27" s="3157">
        <f>H27</f>
        <v>100</v>
      </c>
      <c r="V27" s="3736" t="s">
        <v>13</v>
      </c>
      <c r="W27" s="3157">
        <f>J27</f>
        <v>100</v>
      </c>
      <c r="X27" s="909"/>
      <c r="Y27" s="4550"/>
      <c r="Z27" s="907" t="str">
        <f>Q27</f>
        <v>楼层</v>
      </c>
      <c r="AA27" s="907">
        <f t="shared" si="3"/>
        <v>1</v>
      </c>
      <c r="AB27" s="907">
        <f t="shared" si="4"/>
        <v>1</v>
      </c>
      <c r="AC27" s="1416">
        <f t="shared" si="5"/>
        <v>1</v>
      </c>
    </row>
    <row r="28" spans="1:29" s="46" customFormat="1" ht="15.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57"/>
      <c r="Q28" s="1698" t="str">
        <f t="shared" si="11"/>
        <v>朝向</v>
      </c>
      <c r="R28" s="3634" t="s">
        <v>13</v>
      </c>
      <c r="S28" s="3156">
        <f>F28</f>
        <v>100</v>
      </c>
      <c r="T28" s="3634" t="s">
        <v>13</v>
      </c>
      <c r="U28" s="3156">
        <f>H28</f>
        <v>100</v>
      </c>
      <c r="V28" s="3634" t="s">
        <v>13</v>
      </c>
      <c r="W28" s="3156">
        <f>J28</f>
        <v>100</v>
      </c>
      <c r="X28" s="482"/>
      <c r="Y28" s="4550"/>
      <c r="Z28" s="28" t="str">
        <f>Q28</f>
        <v>朝向</v>
      </c>
      <c r="AA28" s="907">
        <f>D28/F28</f>
        <v>1</v>
      </c>
      <c r="AB28" s="907">
        <f>D28/H28</f>
        <v>1</v>
      </c>
      <c r="AC28" s="1416">
        <f>D28/J28</f>
        <v>1</v>
      </c>
    </row>
    <row r="29" spans="1:29" ht="15.5">
      <c r="A29" s="254"/>
      <c r="B29" s="777">
        <v>111</v>
      </c>
      <c r="C29" s="1370"/>
      <c r="D29" s="2902">
        <v>100</v>
      </c>
      <c r="E29" s="258"/>
      <c r="F29" s="3752">
        <f>SUMIF(93:93,E29,94:94)-SUMIF(93:93,C29,94:94)+100</f>
        <v>100</v>
      </c>
      <c r="G29" s="1414"/>
      <c r="H29" s="3752">
        <f>SUMIF(93:93,G29,94:94)-SUMIF(93:93,C29,94:94)+100</f>
        <v>100</v>
      </c>
      <c r="I29" s="258"/>
      <c r="J29" s="3752">
        <f>SUMIF(93:93,I29,94:94)-SUMIF(93:93,C29,94:94)+100</f>
        <v>100</v>
      </c>
      <c r="K29" s="395"/>
      <c r="L29" s="1980"/>
      <c r="M29" s="1975"/>
      <c r="N29" s="1975"/>
      <c r="O29" s="1975"/>
      <c r="P29" s="4557"/>
      <c r="Q29" s="1507">
        <f t="shared" si="11"/>
        <v>111</v>
      </c>
      <c r="R29" s="3736" t="s">
        <v>13</v>
      </c>
      <c r="S29" s="3157">
        <f t="shared" ref="S29:S47" si="12">F29</f>
        <v>100</v>
      </c>
      <c r="T29" s="3736" t="s">
        <v>13</v>
      </c>
      <c r="U29" s="3157">
        <f t="shared" ref="U29:U47" si="13">H29</f>
        <v>100</v>
      </c>
      <c r="V29" s="3736" t="s">
        <v>13</v>
      </c>
      <c r="W29" s="3157">
        <f t="shared" ref="W29:W47" si="14">J29</f>
        <v>100</v>
      </c>
      <c r="X29" s="909"/>
      <c r="Y29" s="4550"/>
      <c r="Z29" s="907">
        <f t="shared" ref="Z29:Z47" si="15">Q29</f>
        <v>111</v>
      </c>
      <c r="AA29" s="907">
        <f t="shared" si="3"/>
        <v>1</v>
      </c>
      <c r="AB29" s="907">
        <f t="shared" si="4"/>
        <v>1</v>
      </c>
      <c r="AC29" s="1416">
        <f t="shared" si="5"/>
        <v>1</v>
      </c>
    </row>
    <row r="30" spans="1:29" ht="15.5">
      <c r="A30" s="254"/>
      <c r="B30" s="777">
        <v>111</v>
      </c>
      <c r="C30" s="1370"/>
      <c r="D30" s="2902">
        <v>100</v>
      </c>
      <c r="E30" s="258"/>
      <c r="F30" s="3752">
        <f>SUMIF(95:95,E30,96:96)-SUMIF(95:95,C30,96:96)+100</f>
        <v>100</v>
      </c>
      <c r="G30" s="1414"/>
      <c r="H30" s="3752">
        <f>SUMIF(95:95,G30,96:96)-SUMIF(95:95,C30,96:96)+100</f>
        <v>100</v>
      </c>
      <c r="I30" s="258"/>
      <c r="J30" s="3752">
        <f>SUMIF(95:95,I30,96:96)-SUMIF(95:95,C30,96:96)+100</f>
        <v>100</v>
      </c>
      <c r="K30" s="395"/>
      <c r="L30" s="1980"/>
      <c r="M30" s="1975"/>
      <c r="N30" s="1975"/>
      <c r="O30" s="1975"/>
      <c r="P30" s="4557"/>
      <c r="Q30" s="1507">
        <f t="shared" si="11"/>
        <v>111</v>
      </c>
      <c r="R30" s="3736" t="s">
        <v>13</v>
      </c>
      <c r="S30" s="3157">
        <f t="shared" si="12"/>
        <v>100</v>
      </c>
      <c r="T30" s="3736" t="s">
        <v>13</v>
      </c>
      <c r="U30" s="3157">
        <f t="shared" si="13"/>
        <v>100</v>
      </c>
      <c r="V30" s="3736" t="s">
        <v>13</v>
      </c>
      <c r="W30" s="3157">
        <f t="shared" si="14"/>
        <v>100</v>
      </c>
      <c r="X30" s="909"/>
      <c r="Y30" s="4550"/>
      <c r="Z30" s="907">
        <f t="shared" si="15"/>
        <v>111</v>
      </c>
      <c r="AA30" s="907">
        <f t="shared" si="3"/>
        <v>1</v>
      </c>
      <c r="AB30" s="907">
        <f t="shared" si="4"/>
        <v>1</v>
      </c>
      <c r="AC30" s="1416">
        <f t="shared" si="5"/>
        <v>1</v>
      </c>
    </row>
    <row r="31" spans="1:29" ht="15.5">
      <c r="A31" s="254"/>
      <c r="B31" s="777">
        <v>111</v>
      </c>
      <c r="C31" s="1370"/>
      <c r="D31" s="2902">
        <v>100</v>
      </c>
      <c r="E31" s="258"/>
      <c r="F31" s="3752">
        <f>SUMIF(97:97,E31,98:98)-SUMIF(97:97,C31,98:98)+100</f>
        <v>100</v>
      </c>
      <c r="G31" s="1414"/>
      <c r="H31" s="3752">
        <f>SUMIF(97:97,G31,98:98)-SUMIF(97:97,C31,98:98)+100</f>
        <v>100</v>
      </c>
      <c r="I31" s="258"/>
      <c r="J31" s="3752">
        <f>SUMIF(97:97,I31,98:98)-SUMIF(97:97,C31,98:98)+100</f>
        <v>100</v>
      </c>
      <c r="K31" s="395"/>
      <c r="L31" s="1980"/>
      <c r="M31" s="1975"/>
      <c r="N31" s="1975"/>
      <c r="O31" s="1975"/>
      <c r="P31" s="4557"/>
      <c r="Q31" s="1507">
        <f t="shared" si="11"/>
        <v>111</v>
      </c>
      <c r="R31" s="3736" t="s">
        <v>13</v>
      </c>
      <c r="S31" s="3157">
        <f t="shared" si="12"/>
        <v>100</v>
      </c>
      <c r="T31" s="3736" t="s">
        <v>13</v>
      </c>
      <c r="U31" s="3157">
        <f t="shared" si="13"/>
        <v>100</v>
      </c>
      <c r="V31" s="3736" t="s">
        <v>13</v>
      </c>
      <c r="W31" s="3157">
        <f t="shared" si="14"/>
        <v>100</v>
      </c>
      <c r="X31" s="909"/>
      <c r="Y31" s="4550"/>
      <c r="Z31" s="907">
        <f t="shared" si="15"/>
        <v>111</v>
      </c>
      <c r="AA31" s="907">
        <f t="shared" si="3"/>
        <v>1</v>
      </c>
      <c r="AB31" s="907">
        <f t="shared" si="4"/>
        <v>1</v>
      </c>
      <c r="AC31" s="1416">
        <f t="shared" si="5"/>
        <v>1</v>
      </c>
    </row>
    <row r="32" spans="1:29" ht="16" thickBot="1">
      <c r="A32" s="260"/>
      <c r="B32" s="409">
        <v>111</v>
      </c>
      <c r="C32" s="1371"/>
      <c r="D32" s="2903">
        <v>100</v>
      </c>
      <c r="E32" s="402"/>
      <c r="F32" s="3749">
        <f>SUMIF(99:99,E32,100:100)-SUMIF(99:99,C32,100:100)+100</f>
        <v>100</v>
      </c>
      <c r="G32" s="1414"/>
      <c r="H32" s="3749">
        <f>SUMIF(99:99,G32,100:100)-SUMIF(99:99,C32,100:100)+100</f>
        <v>100</v>
      </c>
      <c r="I32" s="258"/>
      <c r="J32" s="3749">
        <f>SUMIF(99:99,I32,100:100)-SUMIF(99:99,C32,100:100)+100</f>
        <v>100</v>
      </c>
      <c r="K32" s="395"/>
      <c r="L32" s="1980"/>
      <c r="M32" s="1975"/>
      <c r="N32" s="1975"/>
      <c r="O32" s="1975"/>
      <c r="P32" s="4557"/>
      <c r="Q32" s="1507">
        <f t="shared" si="11"/>
        <v>111</v>
      </c>
      <c r="R32" s="3736" t="s">
        <v>13</v>
      </c>
      <c r="S32" s="3157">
        <f t="shared" si="12"/>
        <v>100</v>
      </c>
      <c r="T32" s="3736" t="s">
        <v>13</v>
      </c>
      <c r="U32" s="3157">
        <f t="shared" si="13"/>
        <v>100</v>
      </c>
      <c r="V32" s="3736" t="s">
        <v>13</v>
      </c>
      <c r="W32" s="3157">
        <f t="shared" si="14"/>
        <v>100</v>
      </c>
      <c r="X32" s="909"/>
      <c r="Y32" s="4550"/>
      <c r="Z32" s="907">
        <f t="shared" si="15"/>
        <v>111</v>
      </c>
      <c r="AA32" s="907">
        <f t="shared" si="3"/>
        <v>1</v>
      </c>
      <c r="AB32" s="907">
        <f t="shared" si="4"/>
        <v>1</v>
      </c>
      <c r="AC32" s="1416">
        <f t="shared" si="5"/>
        <v>1</v>
      </c>
    </row>
    <row r="33" spans="1:29" ht="15.5">
      <c r="A33" s="262" t="s">
        <v>1601</v>
      </c>
      <c r="B33" s="34" t="s">
        <v>1724</v>
      </c>
      <c r="C33" s="1420"/>
      <c r="D33" s="2909">
        <v>100</v>
      </c>
      <c r="E33" s="1420"/>
      <c r="F33" s="908">
        <f>SUMIF(101:101,E33,102:102)-SUMIF(101:101,C33,102:102)+100</f>
        <v>100</v>
      </c>
      <c r="G33" s="1420"/>
      <c r="H33" s="3752">
        <f>SUMIF(101:101,G33,102:102)-SUMIF(101:101,C33,102:102)+100</f>
        <v>100</v>
      </c>
      <c r="I33" s="1420"/>
      <c r="J33" s="3755">
        <f>SUMIF(101:101,I33,102:102)-SUMIF(101:101,C33,102:102)+100</f>
        <v>100</v>
      </c>
      <c r="K33" s="394">
        <v>2</v>
      </c>
      <c r="L33" s="1980"/>
      <c r="M33" s="1975"/>
      <c r="N33" s="1975"/>
      <c r="O33" s="1975"/>
      <c r="P33" s="4551" t="s">
        <v>1603</v>
      </c>
      <c r="Q33" s="1507" t="str">
        <f t="shared" si="11"/>
        <v>建筑类型</v>
      </c>
      <c r="R33" s="3736" t="s">
        <v>13</v>
      </c>
      <c r="S33" s="3157">
        <f t="shared" si="12"/>
        <v>100</v>
      </c>
      <c r="T33" s="3736" t="s">
        <v>13</v>
      </c>
      <c r="U33" s="3157">
        <f t="shared" si="13"/>
        <v>100</v>
      </c>
      <c r="V33" s="3736" t="s">
        <v>13</v>
      </c>
      <c r="W33" s="3157">
        <f t="shared" si="14"/>
        <v>100</v>
      </c>
      <c r="X33" s="909"/>
      <c r="Y33" s="4554" t="s">
        <v>1603</v>
      </c>
      <c r="Z33" s="907" t="str">
        <f t="shared" si="15"/>
        <v>建筑类型</v>
      </c>
      <c r="AA33" s="907">
        <f t="shared" si="3"/>
        <v>1</v>
      </c>
      <c r="AB33" s="907">
        <f t="shared" si="4"/>
        <v>1</v>
      </c>
      <c r="AC33" s="1416">
        <f t="shared" si="5"/>
        <v>1</v>
      </c>
    </row>
    <row r="34" spans="1:29" s="279" customFormat="1" ht="15.5">
      <c r="A34" s="277"/>
      <c r="B34" s="252" t="s">
        <v>1604</v>
      </c>
      <c r="C34" s="278">
        <f>'数据-汇总表'!E19</f>
        <v>12000.23</v>
      </c>
      <c r="D34" s="2900">
        <v>100</v>
      </c>
      <c r="E34" s="256">
        <v>27705.94</v>
      </c>
      <c r="F34" s="252">
        <f>LOOKUP(E34,104:104,105:105)-LOOKUP(C34,104:104,105:105)+100</f>
        <v>99</v>
      </c>
      <c r="G34" s="255">
        <v>15106.53</v>
      </c>
      <c r="H34" s="422">
        <f>LOOKUP(G34,104:104,105:105)-LOOKUP(C34,104:104,105:105)+100</f>
        <v>100</v>
      </c>
      <c r="I34" s="255">
        <v>10575.42</v>
      </c>
      <c r="J34" s="422">
        <f>LOOKUP(I34,104:104,105:105)-LOOKUP(C34,104:104,105:105)+100</f>
        <v>100</v>
      </c>
      <c r="K34" s="395"/>
      <c r="L34" s="1979"/>
      <c r="M34" s="1981"/>
      <c r="N34" s="1981"/>
      <c r="O34" s="1981"/>
      <c r="P34" s="4552"/>
      <c r="Q34" s="2864" t="str">
        <f t="shared" si="11"/>
        <v>项目建筑规模</v>
      </c>
      <c r="R34" s="3737" t="s">
        <v>13</v>
      </c>
      <c r="S34" s="3158">
        <f t="shared" si="12"/>
        <v>99</v>
      </c>
      <c r="T34" s="3737" t="s">
        <v>13</v>
      </c>
      <c r="U34" s="3158">
        <f t="shared" si="13"/>
        <v>100</v>
      </c>
      <c r="V34" s="3737" t="s">
        <v>13</v>
      </c>
      <c r="W34" s="3158">
        <f t="shared" si="14"/>
        <v>100</v>
      </c>
      <c r="X34" s="484"/>
      <c r="Y34" s="4554"/>
      <c r="Z34" s="485" t="str">
        <f t="shared" si="15"/>
        <v>项目建筑规模</v>
      </c>
      <c r="AA34" s="907">
        <f t="shared" si="3"/>
        <v>1.0101010101010102</v>
      </c>
      <c r="AB34" s="907">
        <f t="shared" si="4"/>
        <v>1</v>
      </c>
      <c r="AC34" s="1416">
        <f t="shared" si="5"/>
        <v>1</v>
      </c>
    </row>
    <row r="35" spans="1:29" ht="15.5">
      <c r="A35" s="280"/>
      <c r="B35" s="252" t="s">
        <v>1605</v>
      </c>
      <c r="C35" s="275" t="s">
        <v>4132</v>
      </c>
      <c r="D35" s="2902">
        <v>100</v>
      </c>
      <c r="E35" s="275" t="s">
        <v>4132</v>
      </c>
      <c r="F35" s="908">
        <f>SUMIF(106:106,E35,107:107)-SUMIF(106:106,C35,107:107)+100</f>
        <v>100</v>
      </c>
      <c r="G35" s="275" t="s">
        <v>4132</v>
      </c>
      <c r="H35" s="3752">
        <f>SUMIF(106:106,G35,107:107)-SUMIF(106:106,C35,107:107)+100</f>
        <v>100</v>
      </c>
      <c r="I35" s="275" t="s">
        <v>4132</v>
      </c>
      <c r="J35" s="3752">
        <f>SUMIF(106:106,I35,107:107)-SUMIF(106:106,C35,107:107)+100</f>
        <v>100</v>
      </c>
      <c r="K35" s="394">
        <v>2</v>
      </c>
      <c r="L35" s="1980"/>
      <c r="M35" s="1975"/>
      <c r="N35" s="1975"/>
      <c r="O35" s="1975"/>
      <c r="P35" s="4552"/>
      <c r="Q35" s="1507" t="str">
        <f t="shared" si="11"/>
        <v>建筑结构</v>
      </c>
      <c r="R35" s="3736" t="s">
        <v>13</v>
      </c>
      <c r="S35" s="3157">
        <f t="shared" si="12"/>
        <v>100</v>
      </c>
      <c r="T35" s="3736" t="s">
        <v>13</v>
      </c>
      <c r="U35" s="3157">
        <f t="shared" si="13"/>
        <v>100</v>
      </c>
      <c r="V35" s="3736" t="s">
        <v>13</v>
      </c>
      <c r="W35" s="3157">
        <f t="shared" si="14"/>
        <v>100</v>
      </c>
      <c r="X35" s="909"/>
      <c r="Y35" s="4554"/>
      <c r="Z35" s="907" t="str">
        <f t="shared" si="15"/>
        <v>建筑结构</v>
      </c>
      <c r="AA35" s="907">
        <f t="shared" si="3"/>
        <v>1</v>
      </c>
      <c r="AB35" s="907">
        <f t="shared" si="4"/>
        <v>1</v>
      </c>
      <c r="AC35" s="1416">
        <f t="shared" si="5"/>
        <v>1</v>
      </c>
    </row>
    <row r="36" spans="1:29" ht="15.5">
      <c r="A36" s="280"/>
      <c r="B36" s="252" t="s">
        <v>1692</v>
      </c>
      <c r="C36" s="275" t="s">
        <v>4168</v>
      </c>
      <c r="D36" s="2902">
        <v>100</v>
      </c>
      <c r="E36" s="275" t="s">
        <v>4168</v>
      </c>
      <c r="F36" s="908">
        <f>SUMIF(108:108,E36,109:109)-SUMIF(108:108,C36,109:109)+100</f>
        <v>100</v>
      </c>
      <c r="G36" s="275" t="s">
        <v>4168</v>
      </c>
      <c r="H36" s="3752">
        <f>SUMIF(108:108,G36,109:109)-SUMIF(108:108,C36,109:109)+100</f>
        <v>100</v>
      </c>
      <c r="I36" s="275" t="s">
        <v>4168</v>
      </c>
      <c r="J36" s="3752">
        <f>SUMIF(108:108,I36,109:109)-SUMIF(108:108,C36,109:109)+100</f>
        <v>100</v>
      </c>
      <c r="K36" s="394"/>
      <c r="L36" s="1980"/>
      <c r="M36" s="1975"/>
      <c r="N36" s="1975"/>
      <c r="O36" s="1975"/>
      <c r="P36" s="4552"/>
      <c r="Q36" s="1507" t="str">
        <f t="shared" si="11"/>
        <v>公共部分装修</v>
      </c>
      <c r="R36" s="3736" t="s">
        <v>13</v>
      </c>
      <c r="S36" s="3157">
        <f t="shared" si="12"/>
        <v>100</v>
      </c>
      <c r="T36" s="3736" t="s">
        <v>13</v>
      </c>
      <c r="U36" s="3157">
        <f t="shared" si="13"/>
        <v>100</v>
      </c>
      <c r="V36" s="3736" t="s">
        <v>13</v>
      </c>
      <c r="W36" s="3157">
        <f t="shared" si="14"/>
        <v>100</v>
      </c>
      <c r="X36" s="909"/>
      <c r="Y36" s="4554"/>
      <c r="Z36" s="907" t="str">
        <f t="shared" si="15"/>
        <v>公共部分装修</v>
      </c>
      <c r="AA36" s="907">
        <f t="shared" si="3"/>
        <v>1</v>
      </c>
      <c r="AB36" s="907">
        <f t="shared" si="4"/>
        <v>1</v>
      </c>
      <c r="AC36" s="1416">
        <f t="shared" si="5"/>
        <v>1</v>
      </c>
    </row>
    <row r="37" spans="1:29" ht="15.5">
      <c r="A37" s="280"/>
      <c r="B37" s="252" t="s">
        <v>1693</v>
      </c>
      <c r="C37" s="282">
        <f>'数据-取费表'!N6</f>
        <v>0.7</v>
      </c>
      <c r="D37" s="2902">
        <v>100</v>
      </c>
      <c r="E37" s="282">
        <f>ROUND(1-(1-0)*(2026-E12)/60,2)</f>
        <v>0.92</v>
      </c>
      <c r="F37" s="908">
        <f>LOOKUP(E37,111:111,112:112)-LOOKUP(C37,111:111,112:112)+100</f>
        <v>108</v>
      </c>
      <c r="G37" s="282">
        <f>ROUND(1-(1-0)*(2026-G12)/60,2)</f>
        <v>0.92</v>
      </c>
      <c r="H37" s="908">
        <f>LOOKUP(G37,111:111,112:112)-LOOKUP(C37,111:111,112:112)+100</f>
        <v>108</v>
      </c>
      <c r="I37" s="282">
        <f>ROUND(1-(1-0)*(2026-I12)/60,2)</f>
        <v>0.93</v>
      </c>
      <c r="J37" s="3752">
        <f>LOOKUP(I37,111:111,112:112)-LOOKUP(C37,111:111,112:112)+100</f>
        <v>108</v>
      </c>
      <c r="K37" s="394">
        <v>2</v>
      </c>
      <c r="L37" s="1980"/>
      <c r="M37" s="1975"/>
      <c r="N37" s="1975"/>
      <c r="O37" s="1975"/>
      <c r="P37" s="4552"/>
      <c r="Q37" s="1507" t="str">
        <f t="shared" si="11"/>
        <v>成新度</v>
      </c>
      <c r="R37" s="3736" t="s">
        <v>13</v>
      </c>
      <c r="S37" s="3157">
        <f t="shared" si="12"/>
        <v>108</v>
      </c>
      <c r="T37" s="3736" t="s">
        <v>13</v>
      </c>
      <c r="U37" s="3157">
        <f t="shared" si="13"/>
        <v>108</v>
      </c>
      <c r="V37" s="3736" t="s">
        <v>13</v>
      </c>
      <c r="W37" s="3157">
        <f t="shared" si="14"/>
        <v>108</v>
      </c>
      <c r="X37" s="909"/>
      <c r="Y37" s="4554"/>
      <c r="Z37" s="907" t="str">
        <f t="shared" si="15"/>
        <v>成新度</v>
      </c>
      <c r="AA37" s="907">
        <f t="shared" si="3"/>
        <v>0.92592592592592593</v>
      </c>
      <c r="AB37" s="907">
        <f t="shared" si="4"/>
        <v>0.92592592592592593</v>
      </c>
      <c r="AC37" s="1416">
        <f t="shared" si="5"/>
        <v>0.92592592592592593</v>
      </c>
    </row>
    <row r="38" spans="1:29" s="46" customFormat="1" ht="15.5">
      <c r="A38" s="281"/>
      <c r="B38" s="252" t="s">
        <v>1725</v>
      </c>
      <c r="C38" s="275"/>
      <c r="D38" s="2900">
        <v>100</v>
      </c>
      <c r="E38" s="275"/>
      <c r="F38" s="908">
        <f>SUMIF(113:113,E38,114:114)-SUMIF(113:113,C38,114:114)+100</f>
        <v>100</v>
      </c>
      <c r="G38" s="275"/>
      <c r="H38" s="3752">
        <f>SUMIF(113:113,G38,114:114)-SUMIF(113:113,C38,114:114)+100</f>
        <v>100</v>
      </c>
      <c r="I38" s="275"/>
      <c r="J38" s="3752">
        <f>SUMIF(113:113,I38,114:114)-SUMIF(113:113,C38,114:114)+100</f>
        <v>100</v>
      </c>
      <c r="K38" s="394">
        <v>2</v>
      </c>
      <c r="L38" s="1976"/>
      <c r="M38" s="1929"/>
      <c r="N38" s="1929"/>
      <c r="O38" s="1929"/>
      <c r="P38" s="4552"/>
      <c r="Q38" s="1698" t="str">
        <f t="shared" si="11"/>
        <v>写字楼等级</v>
      </c>
      <c r="R38" s="3634" t="s">
        <v>13</v>
      </c>
      <c r="S38" s="3156">
        <f t="shared" si="12"/>
        <v>100</v>
      </c>
      <c r="T38" s="3634" t="s">
        <v>13</v>
      </c>
      <c r="U38" s="3156">
        <f t="shared" si="13"/>
        <v>100</v>
      </c>
      <c r="V38" s="3634" t="s">
        <v>13</v>
      </c>
      <c r="W38" s="3156">
        <f t="shared" si="14"/>
        <v>100</v>
      </c>
      <c r="X38" s="482"/>
      <c r="Y38" s="4554"/>
      <c r="Z38" s="28" t="str">
        <f t="shared" si="15"/>
        <v>写字楼等级</v>
      </c>
      <c r="AA38" s="28">
        <f t="shared" si="3"/>
        <v>1</v>
      </c>
      <c r="AB38" s="28">
        <f t="shared" si="4"/>
        <v>1</v>
      </c>
      <c r="AC38" s="545">
        <f t="shared" si="5"/>
        <v>1</v>
      </c>
    </row>
    <row r="39" spans="1:29" ht="15.5">
      <c r="A39" s="280"/>
      <c r="B39" s="252" t="s">
        <v>1726</v>
      </c>
      <c r="C39" s="275" t="s">
        <v>4169</v>
      </c>
      <c r="D39" s="2902">
        <v>100</v>
      </c>
      <c r="E39" s="275" t="s">
        <v>4169</v>
      </c>
      <c r="F39" s="908">
        <f>SUMIF(115:115,E39,116:116)-SUMIF(115:115,C39,116:116)+100</f>
        <v>100</v>
      </c>
      <c r="G39" s="275" t="s">
        <v>4169</v>
      </c>
      <c r="H39" s="3752">
        <f>SUMIF(115:115,G39,116:116)-SUMIF(115:115,C39,116:116)+100</f>
        <v>100</v>
      </c>
      <c r="I39" s="275" t="s">
        <v>4169</v>
      </c>
      <c r="J39" s="3752">
        <f>SUMIF(115:115,I39,116:116)-SUMIF(115:115,C39,116:116)+100</f>
        <v>100</v>
      </c>
      <c r="K39" s="394">
        <v>2</v>
      </c>
      <c r="L39" s="1980"/>
      <c r="M39" s="1975"/>
      <c r="N39" s="1975"/>
      <c r="O39" s="1975"/>
      <c r="P39" s="4552" t="s">
        <v>1603</v>
      </c>
      <c r="Q39" s="1507" t="str">
        <f t="shared" si="11"/>
        <v>物业管理</v>
      </c>
      <c r="R39" s="3736" t="s">
        <v>13</v>
      </c>
      <c r="S39" s="3157">
        <f t="shared" si="12"/>
        <v>100</v>
      </c>
      <c r="T39" s="3736" t="s">
        <v>13</v>
      </c>
      <c r="U39" s="3157">
        <f t="shared" si="13"/>
        <v>100</v>
      </c>
      <c r="V39" s="3736" t="s">
        <v>13</v>
      </c>
      <c r="W39" s="3157">
        <f t="shared" si="14"/>
        <v>100</v>
      </c>
      <c r="X39" s="909"/>
      <c r="Y39" s="4554" t="s">
        <v>1603</v>
      </c>
      <c r="Z39" s="907" t="str">
        <f t="shared" si="15"/>
        <v>物业管理</v>
      </c>
      <c r="AA39" s="907">
        <f t="shared" si="3"/>
        <v>1</v>
      </c>
      <c r="AB39" s="907">
        <f t="shared" si="4"/>
        <v>1</v>
      </c>
      <c r="AC39" s="1416">
        <f t="shared" si="5"/>
        <v>1</v>
      </c>
    </row>
    <row r="40" spans="1:29" ht="15.5">
      <c r="A40" s="280"/>
      <c r="B40" s="252" t="s">
        <v>1694</v>
      </c>
      <c r="C40" s="275"/>
      <c r="D40" s="2902">
        <v>100</v>
      </c>
      <c r="E40" s="275"/>
      <c r="F40" s="908">
        <f>SUMIF(117:117,E40,118:118)-SUMIF(117:117,C40,118:118)+100</f>
        <v>100</v>
      </c>
      <c r="G40" s="275"/>
      <c r="H40" s="3752">
        <f>SUMIF(117:117,G40,118:118)-SUMIF(117:117,C40,118:118)+100</f>
        <v>100</v>
      </c>
      <c r="I40" s="275"/>
      <c r="J40" s="3752">
        <f>SUMIF(117:117,I40,118:118)-SUMIF(117:117,C40,118:118)+100</f>
        <v>100</v>
      </c>
      <c r="K40" s="394">
        <v>1</v>
      </c>
      <c r="L40" s="1980"/>
      <c r="M40" s="1975"/>
      <c r="N40" s="1975"/>
      <c r="O40" s="1975"/>
      <c r="P40" s="4552"/>
      <c r="Q40" s="1507" t="str">
        <f t="shared" si="11"/>
        <v>市政基础设施</v>
      </c>
      <c r="R40" s="3736" t="s">
        <v>13</v>
      </c>
      <c r="S40" s="3157">
        <f t="shared" si="12"/>
        <v>100</v>
      </c>
      <c r="T40" s="3736" t="s">
        <v>13</v>
      </c>
      <c r="U40" s="3157">
        <f t="shared" si="13"/>
        <v>100</v>
      </c>
      <c r="V40" s="3736" t="s">
        <v>13</v>
      </c>
      <c r="W40" s="3157">
        <f t="shared" si="14"/>
        <v>100</v>
      </c>
      <c r="X40" s="909"/>
      <c r="Y40" s="4554"/>
      <c r="Z40" s="907" t="str">
        <f t="shared" si="15"/>
        <v>市政基础设施</v>
      </c>
      <c r="AA40" s="907">
        <f t="shared" si="3"/>
        <v>1</v>
      </c>
      <c r="AB40" s="907">
        <f t="shared" si="4"/>
        <v>1</v>
      </c>
      <c r="AC40" s="1416">
        <f t="shared" si="5"/>
        <v>1</v>
      </c>
    </row>
    <row r="41" spans="1:29" ht="15.5">
      <c r="A41" s="280"/>
      <c r="B41" s="252" t="s">
        <v>1696</v>
      </c>
      <c r="C41" s="398" t="s">
        <v>4181</v>
      </c>
      <c r="D41" s="2902">
        <v>100</v>
      </c>
      <c r="E41" s="398" t="s">
        <v>4181</v>
      </c>
      <c r="F41" s="908">
        <f>SUMIF(119:119,E41,120:120)-SUMIF(119:119,C41,120:120)+100</f>
        <v>100</v>
      </c>
      <c r="G41" s="398" t="s">
        <v>4181</v>
      </c>
      <c r="H41" s="3752">
        <f>SUMIF(119:119,G41,120:120)-SUMIF(119:119,C41,120:120)+100</f>
        <v>100</v>
      </c>
      <c r="I41" s="398" t="s">
        <v>4181</v>
      </c>
      <c r="J41" s="3752">
        <f>SUMIF(119:119,I41,120:120)-SUMIF(119:119,C41,120:120)+100</f>
        <v>100</v>
      </c>
      <c r="K41" s="394">
        <v>5</v>
      </c>
      <c r="L41" s="1980"/>
      <c r="M41" s="1975"/>
      <c r="N41" s="1975"/>
      <c r="O41" s="1975"/>
      <c r="P41" s="4552"/>
      <c r="Q41" s="1507" t="str">
        <f t="shared" si="11"/>
        <v>层高</v>
      </c>
      <c r="R41" s="3736" t="s">
        <v>13</v>
      </c>
      <c r="S41" s="3157">
        <f t="shared" si="12"/>
        <v>100</v>
      </c>
      <c r="T41" s="3736" t="s">
        <v>13</v>
      </c>
      <c r="U41" s="3157">
        <f t="shared" si="13"/>
        <v>100</v>
      </c>
      <c r="V41" s="3736" t="s">
        <v>13</v>
      </c>
      <c r="W41" s="3157">
        <f t="shared" si="14"/>
        <v>100</v>
      </c>
      <c r="X41" s="909"/>
      <c r="Y41" s="4554"/>
      <c r="Z41" s="907" t="str">
        <f t="shared" si="15"/>
        <v>层高</v>
      </c>
      <c r="AA41" s="907">
        <f t="shared" si="3"/>
        <v>1</v>
      </c>
      <c r="AB41" s="907">
        <f t="shared" si="4"/>
        <v>1</v>
      </c>
      <c r="AC41" s="1416">
        <f t="shared" si="5"/>
        <v>1</v>
      </c>
    </row>
    <row r="42" spans="1:29" s="279" customFormat="1" ht="15.5">
      <c r="A42" s="277"/>
      <c r="B42" s="908" t="s">
        <v>1727</v>
      </c>
      <c r="C42" s="259"/>
      <c r="D42" s="2902">
        <v>100</v>
      </c>
      <c r="E42" s="259"/>
      <c r="F42" s="908">
        <f>SUMIF(121:121,E42,122:122)-SUMIF(121:121,C42,122:122)+100</f>
        <v>100</v>
      </c>
      <c r="G42" s="259"/>
      <c r="H42" s="3752">
        <f>SUMIF(121:121,G42,122:122)-SUMIF(121:121,C42,122:122)+100</f>
        <v>100</v>
      </c>
      <c r="I42" s="259"/>
      <c r="J42" s="3752">
        <f>SUMIF(121:121,I42,122:122)-SUMIF(121:121,C42,122:122)+100</f>
        <v>100</v>
      </c>
      <c r="K42" s="395"/>
      <c r="L42" s="1979"/>
      <c r="M42" s="1981"/>
      <c r="N42" s="1981"/>
      <c r="O42" s="1981"/>
      <c r="P42" s="4552"/>
      <c r="Q42" s="2864" t="str">
        <f t="shared" si="11"/>
        <v>单套建筑面积</v>
      </c>
      <c r="R42" s="3737" t="s">
        <v>13</v>
      </c>
      <c r="S42" s="3158">
        <f t="shared" si="12"/>
        <v>100</v>
      </c>
      <c r="T42" s="3737" t="s">
        <v>13</v>
      </c>
      <c r="U42" s="3158">
        <f t="shared" si="13"/>
        <v>100</v>
      </c>
      <c r="V42" s="3737" t="s">
        <v>13</v>
      </c>
      <c r="W42" s="3158">
        <f t="shared" si="14"/>
        <v>100</v>
      </c>
      <c r="X42" s="484"/>
      <c r="Y42" s="4554"/>
      <c r="Z42" s="485" t="str">
        <f t="shared" si="15"/>
        <v>单套建筑面积</v>
      </c>
      <c r="AA42" s="907">
        <f t="shared" si="3"/>
        <v>1</v>
      </c>
      <c r="AB42" s="907">
        <f t="shared" si="4"/>
        <v>1</v>
      </c>
      <c r="AC42" s="1416">
        <f t="shared" si="5"/>
        <v>1</v>
      </c>
    </row>
    <row r="43" spans="1:29" ht="28">
      <c r="A43" s="280"/>
      <c r="B43" s="252" t="s">
        <v>1699</v>
      </c>
      <c r="C43" s="275" t="s">
        <v>4168</v>
      </c>
      <c r="D43" s="2902">
        <v>100</v>
      </c>
      <c r="E43" s="275" t="s">
        <v>4182</v>
      </c>
      <c r="F43" s="908">
        <f>SUMIF(123:123,E43,124:124)-SUMIF(123:123,C43,124:124)+100</f>
        <v>97</v>
      </c>
      <c r="G43" s="275" t="s">
        <v>4182</v>
      </c>
      <c r="H43" s="3752">
        <f>SUMIF(123:123,G43,124:124)-SUMIF(123:123,C43,124:124)+100</f>
        <v>97</v>
      </c>
      <c r="I43" s="275" t="s">
        <v>4182</v>
      </c>
      <c r="J43" s="3752">
        <f>SUMIF(123:123,I43,124:124)-SUMIF(123:123,C43,124:124)+100</f>
        <v>97</v>
      </c>
      <c r="K43" s="394">
        <v>1</v>
      </c>
      <c r="L43" s="1980"/>
      <c r="M43" s="1975"/>
      <c r="N43" s="1975"/>
      <c r="O43" s="1975"/>
      <c r="P43" s="4552"/>
      <c r="Q43" s="1507" t="str">
        <f t="shared" si="11"/>
        <v>内部装修</v>
      </c>
      <c r="R43" s="3736" t="s">
        <v>13</v>
      </c>
      <c r="S43" s="3157">
        <f t="shared" si="12"/>
        <v>97</v>
      </c>
      <c r="T43" s="3736" t="s">
        <v>13</v>
      </c>
      <c r="U43" s="3157">
        <f t="shared" si="13"/>
        <v>97</v>
      </c>
      <c r="V43" s="3736" t="s">
        <v>13</v>
      </c>
      <c r="W43" s="3157">
        <f t="shared" si="14"/>
        <v>97</v>
      </c>
      <c r="X43" s="909"/>
      <c r="Y43" s="4554"/>
      <c r="Z43" s="907" t="str">
        <f t="shared" si="15"/>
        <v>内部装修</v>
      </c>
      <c r="AA43" s="907">
        <f t="shared" si="3"/>
        <v>1.0309278350515463</v>
      </c>
      <c r="AB43" s="907">
        <f t="shared" si="4"/>
        <v>1.0309278350515463</v>
      </c>
      <c r="AC43" s="1416">
        <f t="shared" si="5"/>
        <v>1.0309278350515463</v>
      </c>
    </row>
    <row r="44" spans="1:29" ht="28">
      <c r="A44" s="280"/>
      <c r="B44" s="252" t="s">
        <v>1614</v>
      </c>
      <c r="C44" s="275" t="s">
        <v>3612</v>
      </c>
      <c r="D44" s="2902">
        <v>100</v>
      </c>
      <c r="E44" s="1369" t="s">
        <v>3612</v>
      </c>
      <c r="F44" s="908">
        <f>SUMIF(125:125,E44,126:126)-SUMIF(125:125,C44,126:126)+100</f>
        <v>100</v>
      </c>
      <c r="G44" s="1369" t="s">
        <v>3612</v>
      </c>
      <c r="H44" s="3752">
        <f>SUMIF(125:125,G44,126:126)-SUMIF(125:125,C44,126:126)+100</f>
        <v>100</v>
      </c>
      <c r="I44" s="1369" t="s">
        <v>3612</v>
      </c>
      <c r="J44" s="3752">
        <f>SUMIF(125:125,I44,126:126)-SUMIF(125:125,C44,126:126)+100</f>
        <v>100</v>
      </c>
      <c r="K44" s="394">
        <v>2</v>
      </c>
      <c r="L44" s="1980"/>
      <c r="M44" s="1975"/>
      <c r="N44" s="1975"/>
      <c r="O44" s="1975"/>
      <c r="P44" s="4552"/>
      <c r="Q44" s="1507" t="str">
        <f t="shared" si="11"/>
        <v>内部装修维护情况</v>
      </c>
      <c r="R44" s="3736" t="s">
        <v>13</v>
      </c>
      <c r="S44" s="3157">
        <f t="shared" si="12"/>
        <v>100</v>
      </c>
      <c r="T44" s="3736" t="s">
        <v>13</v>
      </c>
      <c r="U44" s="3157">
        <f t="shared" si="13"/>
        <v>100</v>
      </c>
      <c r="V44" s="3736" t="s">
        <v>13</v>
      </c>
      <c r="W44" s="3157">
        <f t="shared" si="14"/>
        <v>100</v>
      </c>
      <c r="X44" s="909"/>
      <c r="Y44" s="4554"/>
      <c r="Z44" s="907" t="str">
        <f t="shared" si="15"/>
        <v>内部装修维护情况</v>
      </c>
      <c r="AA44" s="907">
        <f t="shared" si="3"/>
        <v>1</v>
      </c>
      <c r="AB44" s="907">
        <f t="shared" si="4"/>
        <v>1</v>
      </c>
      <c r="AC44" s="1416">
        <f t="shared" si="5"/>
        <v>1</v>
      </c>
    </row>
    <row r="45" spans="1:29" s="46" customFormat="1" ht="15.5">
      <c r="A45" s="281"/>
      <c r="B45" s="4252" t="s">
        <v>4167</v>
      </c>
      <c r="C45" s="278" t="s">
        <v>4184</v>
      </c>
      <c r="D45" s="2900">
        <v>100</v>
      </c>
      <c r="E45" s="258" t="s">
        <v>4185</v>
      </c>
      <c r="F45" s="252">
        <f>SUMIF(127:127,E45,128:128)-SUMIF(127:127,C45,128:128)+100</f>
        <v>95</v>
      </c>
      <c r="G45" s="258" t="s">
        <v>4186</v>
      </c>
      <c r="H45" s="422">
        <f>SUMIF(127:127,G45,128:128)-SUMIF(127:127,C45,128:128)+100</f>
        <v>105</v>
      </c>
      <c r="I45" s="258" t="s">
        <v>4187</v>
      </c>
      <c r="J45" s="422">
        <f>SUMIF(127:127,I45,128:128)-SUMIF(127:127,C45,128:128)+100</f>
        <v>100</v>
      </c>
      <c r="K45" s="395"/>
      <c r="L45" s="1976"/>
      <c r="M45" s="1929"/>
      <c r="N45" s="1929"/>
      <c r="O45" s="1929"/>
      <c r="P45" s="4552"/>
      <c r="Q45" s="1698" t="str">
        <f t="shared" si="11"/>
        <v>地下面积占比</v>
      </c>
      <c r="R45" s="3634" t="s">
        <v>13</v>
      </c>
      <c r="S45" s="3156">
        <f t="shared" si="12"/>
        <v>95</v>
      </c>
      <c r="T45" s="3634" t="s">
        <v>13</v>
      </c>
      <c r="U45" s="3156">
        <f t="shared" si="13"/>
        <v>105</v>
      </c>
      <c r="V45" s="3634" t="s">
        <v>13</v>
      </c>
      <c r="W45" s="3156">
        <f t="shared" si="14"/>
        <v>100</v>
      </c>
      <c r="X45" s="482"/>
      <c r="Y45" s="4554"/>
      <c r="Z45" s="28" t="str">
        <f t="shared" si="15"/>
        <v>地下面积占比</v>
      </c>
      <c r="AA45" s="28">
        <f t="shared" si="3"/>
        <v>1.0526315789473684</v>
      </c>
      <c r="AB45" s="28">
        <f t="shared" si="4"/>
        <v>0.95238095238095233</v>
      </c>
      <c r="AC45" s="545">
        <f t="shared" si="5"/>
        <v>1</v>
      </c>
    </row>
    <row r="46" spans="1:29" ht="15.5">
      <c r="A46" s="280"/>
      <c r="B46" s="761">
        <v>111</v>
      </c>
      <c r="C46" s="259"/>
      <c r="D46" s="2902">
        <v>100</v>
      </c>
      <c r="E46" s="258"/>
      <c r="F46" s="908">
        <f>SUMIF(129:129,E46,130:130)-SUMIF(129:129,C46,130:130)+100</f>
        <v>100</v>
      </c>
      <c r="G46" s="258"/>
      <c r="H46" s="3752">
        <f>SUMIF(129:129,G46,130:130)-SUMIF(129:129,C46,130:130)+100</f>
        <v>100</v>
      </c>
      <c r="I46" s="258"/>
      <c r="J46" s="3752">
        <f>SUMIF(129:129,I46,130:130)-SUMIF(129:129,C46,130:130)+100</f>
        <v>100</v>
      </c>
      <c r="K46" s="395"/>
      <c r="L46" s="1980"/>
      <c r="M46" s="1975"/>
      <c r="N46" s="1975"/>
      <c r="O46" s="1975"/>
      <c r="P46" s="4552"/>
      <c r="Q46" s="1507">
        <f t="shared" si="11"/>
        <v>111</v>
      </c>
      <c r="R46" s="3736" t="s">
        <v>13</v>
      </c>
      <c r="S46" s="3157">
        <f t="shared" si="12"/>
        <v>100</v>
      </c>
      <c r="T46" s="3736" t="s">
        <v>13</v>
      </c>
      <c r="U46" s="3157">
        <f t="shared" si="13"/>
        <v>100</v>
      </c>
      <c r="V46" s="3736" t="s">
        <v>13</v>
      </c>
      <c r="W46" s="3157">
        <f t="shared" si="14"/>
        <v>100</v>
      </c>
      <c r="X46" s="909"/>
      <c r="Y46" s="4554"/>
      <c r="Z46" s="907">
        <f t="shared" si="15"/>
        <v>111</v>
      </c>
      <c r="AA46" s="907">
        <f t="shared" si="3"/>
        <v>1</v>
      </c>
      <c r="AB46" s="907">
        <f t="shared" si="4"/>
        <v>1</v>
      </c>
      <c r="AC46" s="1416">
        <f t="shared" si="5"/>
        <v>1</v>
      </c>
    </row>
    <row r="47" spans="1:29" ht="16" thickBot="1">
      <c r="A47" s="285"/>
      <c r="B47" s="1361">
        <v>111</v>
      </c>
      <c r="C47" s="261">
        <f>信息!D16</f>
        <v>0.19</v>
      </c>
      <c r="D47" s="2903">
        <v>100</v>
      </c>
      <c r="E47" s="258">
        <v>0.24</v>
      </c>
      <c r="F47" s="3753">
        <f>SUMIF(131:131,E47,132:132)-SUMIF(131:131,C47,132:132)+100</f>
        <v>100</v>
      </c>
      <c r="G47" s="258"/>
      <c r="H47" s="3749">
        <f>SUMIF(131:131,G47,132:132)-SUMIF(131:131,C47,132:132)+100</f>
        <v>100</v>
      </c>
      <c r="I47" s="258"/>
      <c r="J47" s="3749">
        <f>SUMIF(131:131,I47,132:132)-SUMIF(131:131,C47,132:132)+100</f>
        <v>100</v>
      </c>
      <c r="K47" s="395"/>
      <c r="L47" s="1980"/>
      <c r="M47" s="1975"/>
      <c r="N47" s="1975"/>
      <c r="O47" s="1975"/>
      <c r="P47" s="4553"/>
      <c r="Q47" s="1507">
        <f t="shared" si="11"/>
        <v>111</v>
      </c>
      <c r="R47" s="3736" t="s">
        <v>13</v>
      </c>
      <c r="S47" s="3157">
        <f t="shared" si="12"/>
        <v>100</v>
      </c>
      <c r="T47" s="3736" t="s">
        <v>13</v>
      </c>
      <c r="U47" s="3157">
        <f t="shared" si="13"/>
        <v>100</v>
      </c>
      <c r="V47" s="3736" t="s">
        <v>13</v>
      </c>
      <c r="W47" s="3157">
        <f t="shared" si="14"/>
        <v>100</v>
      </c>
      <c r="X47" s="909"/>
      <c r="Y47" s="4555"/>
      <c r="Z47" s="907">
        <f t="shared" si="15"/>
        <v>111</v>
      </c>
      <c r="AA47" s="907">
        <f t="shared" si="3"/>
        <v>1</v>
      </c>
      <c r="AB47" s="907">
        <f t="shared" si="4"/>
        <v>1</v>
      </c>
      <c r="AC47" s="1416">
        <f t="shared" si="5"/>
        <v>1</v>
      </c>
    </row>
    <row r="48" spans="1:29">
      <c r="A48" s="286" t="s">
        <v>1615</v>
      </c>
      <c r="B48" s="287"/>
      <c r="C48" s="765" t="s">
        <v>0</v>
      </c>
      <c r="D48" s="288"/>
      <c r="E48" s="3205">
        <v>49448</v>
      </c>
      <c r="F48" s="3153"/>
      <c r="G48" s="3206">
        <v>42597</v>
      </c>
      <c r="H48" s="3154"/>
      <c r="I48" s="3205">
        <v>44386</v>
      </c>
      <c r="J48" s="3154"/>
      <c r="K48" s="2862"/>
      <c r="L48" s="1982"/>
      <c r="M48" s="1975"/>
      <c r="N48" s="1975"/>
      <c r="O48" s="1975"/>
      <c r="P48" s="4558" t="str">
        <f>A48</f>
        <v>成交单价（元/平方米）</v>
      </c>
      <c r="Q48" s="4547"/>
      <c r="R48" s="4548">
        <f>E48</f>
        <v>49448</v>
      </c>
      <c r="S48" s="4548"/>
      <c r="T48" s="4548">
        <f>G48</f>
        <v>42597</v>
      </c>
      <c r="U48" s="4548"/>
      <c r="V48" s="4548">
        <f>I48</f>
        <v>44386</v>
      </c>
      <c r="W48" s="4548"/>
      <c r="X48" s="265"/>
      <c r="Y48" s="486"/>
      <c r="Z48" s="265"/>
      <c r="AA48" s="265"/>
      <c r="AB48" s="265"/>
      <c r="AC48" s="404"/>
    </row>
    <row r="49" spans="1:39" ht="14.5" thickBot="1">
      <c r="A49" s="289" t="s">
        <v>1700</v>
      </c>
      <c r="B49" s="290"/>
      <c r="C49" s="3734">
        <f>R50</f>
        <v>40936</v>
      </c>
      <c r="D49" s="3847" t="s">
        <v>2042</v>
      </c>
      <c r="E49" s="3745">
        <f>R49</f>
        <v>43031</v>
      </c>
      <c r="F49" s="2801"/>
      <c r="G49" s="3734">
        <f>T49</f>
        <v>38291</v>
      </c>
      <c r="H49" s="2801"/>
      <c r="I49" s="3745">
        <f>V49</f>
        <v>41487</v>
      </c>
      <c r="J49" s="2801"/>
      <c r="K49" s="2855">
        <f>F49+H49+J49</f>
        <v>0</v>
      </c>
      <c r="L49" s="1982"/>
      <c r="M49" s="1975"/>
      <c r="N49" s="1975"/>
      <c r="O49" s="1975"/>
      <c r="P49" s="4558" t="str">
        <f>A49</f>
        <v>比较价值（元/平方米）</v>
      </c>
      <c r="Q49" s="4547"/>
      <c r="R49" s="4548">
        <f>IF(F1="售价",ROUND(PRODUCT(R48,AA7:AA47),0),ROUND(PRODUCT(R48,AA7:AA47),1))</f>
        <v>43031</v>
      </c>
      <c r="S49" s="4548"/>
      <c r="T49" s="4548">
        <f>IF(F1="售价",ROUND(PRODUCT(T48,AB7:AB47),0),ROUND(PRODUCT(T48,AB7:AB47),1))</f>
        <v>38291</v>
      </c>
      <c r="U49" s="4548"/>
      <c r="V49" s="4548">
        <f>IF(F1="售价",ROUND(PRODUCT(V48,AC7:AC47),0),ROUND(PRODUCT(V48,AC7:AC47),1))</f>
        <v>41487</v>
      </c>
      <c r="W49" s="4548"/>
      <c r="X49" s="265"/>
      <c r="Y49" s="265"/>
      <c r="Z49" s="265"/>
      <c r="AA49" s="265"/>
      <c r="AB49" s="265"/>
      <c r="AC49" s="404"/>
    </row>
    <row r="50" spans="1:39" ht="14.5" thickBot="1">
      <c r="A50" s="291" t="s">
        <v>1701</v>
      </c>
      <c r="B50" s="292"/>
      <c r="C50" s="3746">
        <f>R50</f>
        <v>40936</v>
      </c>
      <c r="D50" s="241"/>
      <c r="E50" s="241"/>
      <c r="F50" s="241"/>
      <c r="G50" s="241"/>
      <c r="H50" s="241"/>
      <c r="I50" s="241"/>
      <c r="J50" s="293"/>
      <c r="K50" s="487"/>
      <c r="L50" s="1982"/>
      <c r="M50" s="1975"/>
      <c r="N50" s="1975"/>
      <c r="O50" s="1975"/>
      <c r="P50" s="4600" t="str">
        <f>A50</f>
        <v>估价对象XX用房的比较价值（楼面单价，元/平方米）</v>
      </c>
      <c r="Q50" s="4601"/>
      <c r="R50" s="4602">
        <f>IF(F1="售价",ROUND(IF(D49="简单平均",AVERAGE(R49:V49),R49*F49+T49*H49+V49*J49),0),ROUND(IF(D49="简单平均",AVERAGE(R49:V49),R49*F49+T49*H49+V49*J49),1))</f>
        <v>40936</v>
      </c>
      <c r="S50" s="4602"/>
      <c r="T50" s="4602"/>
      <c r="U50" s="4602"/>
      <c r="V50" s="4602"/>
      <c r="W50" s="4602"/>
      <c r="X50" s="1402"/>
      <c r="Y50" s="1402"/>
      <c r="Z50" s="1402"/>
      <c r="AA50" s="1402"/>
      <c r="AB50" s="1402"/>
      <c r="AC50" s="1403"/>
    </row>
    <row r="51" spans="1:3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3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39" ht="13.5" customHeight="1">
      <c r="A53" s="1975"/>
      <c r="B53" s="1975"/>
      <c r="C53" s="296" t="s">
        <v>1702</v>
      </c>
      <c r="D53" s="297"/>
      <c r="E53" s="298">
        <f>IF(E48&lt;E49,E49/E48-1,E48/E49-1)</f>
        <v>0.14912504938300297</v>
      </c>
      <c r="F53" s="299" t="str">
        <f>IF(OR(E53&gt;=0.3,E53&lt;=-0.3),"超过30%","")</f>
        <v/>
      </c>
      <c r="G53" s="298">
        <f>IF(G48&lt;G49,G49/G48-1,G48/G49-1)</f>
        <v>0.11245462380193771</v>
      </c>
      <c r="H53" s="299" t="str">
        <f>IF(OR(G53&gt;=0.3,G53&lt;=-0.3),"超过30%","")</f>
        <v/>
      </c>
      <c r="I53" s="298">
        <f>IF(I48&lt;I49,I49/I48-1,I48/I49-1)</f>
        <v>6.9877310964880479E-2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39" ht="13.5" customHeight="1">
      <c r="A54" s="1975"/>
      <c r="B54" s="1975"/>
      <c r="C54" s="296" t="s">
        <v>1703</v>
      </c>
      <c r="D54" s="300"/>
      <c r="E54" s="298">
        <f>IF(E49&lt;G49,G49/E49-1,E49/G49-1)</f>
        <v>0.12378887989344745</v>
      </c>
      <c r="F54" s="299" t="str">
        <f>IF(OR(E54&gt;=0.2,E54&lt;=-0.2),"超过20%","")</f>
        <v/>
      </c>
      <c r="G54" s="298">
        <f>IF(G49&lt;I49,I49/G49-1,G49/I49-1)</f>
        <v>8.3466088637016433E-2</v>
      </c>
      <c r="H54" s="299" t="str">
        <f>IF(OR(G54&gt;=0.2,G54&lt;=-0.2),"超过20%","")</f>
        <v/>
      </c>
      <c r="I54" s="298">
        <f>IF(I49&lt;E49,E49/I49-1,I49/E49-1)</f>
        <v>3.7216477450767727E-2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39" s="301" customFormat="1" ht="13.5" customHeight="1">
      <c r="A55" s="1985"/>
      <c r="B55" s="1985"/>
      <c r="C55" s="296" t="s">
        <v>1704</v>
      </c>
      <c r="D55" s="300"/>
      <c r="E55" s="298">
        <f>IF(E48&lt;G48,G48/E48-1,E48/G48-1)</f>
        <v>0.16083292250627967</v>
      </c>
      <c r="F55" s="299" t="str">
        <f>IF(OR(E55&gt;=0.3,E55&lt;=-0.3),"超过30%","")</f>
        <v/>
      </c>
      <c r="G55" s="298">
        <f>IF(G48&lt;I48,I48/G48-1,G48/I48-1)</f>
        <v>4.1998262788459195E-2</v>
      </c>
      <c r="H55" s="299" t="str">
        <f>IF(OR(G55&gt;=0.3,G55&lt;=-0.3),"超过30%","")</f>
        <v/>
      </c>
      <c r="I55" s="298">
        <f>IF(I48&lt;E48,E48/I48-1,I48/E48-1)</f>
        <v>0.11404496913441164</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3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3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39" ht="21.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39" s="305" customFormat="1">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782">
        <f t="shared" ref="P59" si="17">EDATE(O59,-1)</f>
        <v>45689</v>
      </c>
      <c r="Q59" s="782">
        <f t="shared" ref="Q59" si="18">EDATE(P59,-1)</f>
        <v>45658</v>
      </c>
      <c r="R59" s="782">
        <f t="shared" ref="R59" si="19">EDATE(Q59,-1)</f>
        <v>45627</v>
      </c>
      <c r="S59" s="782">
        <f t="shared" ref="S59" si="20">EDATE(R59,-1)</f>
        <v>45597</v>
      </c>
      <c r="T59" s="782">
        <f t="shared" ref="T59" si="21">EDATE(S59,-1)</f>
        <v>45566</v>
      </c>
      <c r="U59" s="782">
        <f t="shared" ref="U59" si="22">EDATE(T59,-1)</f>
        <v>45536</v>
      </c>
      <c r="V59" s="782">
        <f t="shared" ref="V59" si="23">EDATE(U59,-1)</f>
        <v>45505</v>
      </c>
      <c r="W59" s="782">
        <f t="shared" ref="W59" si="24">EDATE(V59,-1)</f>
        <v>45474</v>
      </c>
      <c r="X59" s="782">
        <f t="shared" ref="X59" si="25">EDATE(W59,-1)</f>
        <v>45444</v>
      </c>
      <c r="Y59" s="782">
        <f t="shared" ref="Y59" si="26">EDATE(X59,-1)</f>
        <v>45413</v>
      </c>
      <c r="Z59" s="782">
        <f t="shared" ref="Z59" si="27">EDATE(Y59,-1)</f>
        <v>45383</v>
      </c>
      <c r="AA59" s="782">
        <f t="shared" ref="AA59" si="28">EDATE(Z59,-1)</f>
        <v>45352</v>
      </c>
      <c r="AB59" s="782">
        <f t="shared" ref="AB59" si="29">EDATE(AA59,-1)</f>
        <v>45323</v>
      </c>
      <c r="AC59" s="782">
        <f t="shared" ref="AC59" si="30">EDATE(AB59,-1)</f>
        <v>45292</v>
      </c>
      <c r="AD59" s="782">
        <f t="shared" ref="AD59" si="31">EDATE(AC59,-1)</f>
        <v>45261</v>
      </c>
      <c r="AE59" s="782">
        <f t="shared" ref="AE59" si="32">EDATE(AD59,-1)</f>
        <v>45231</v>
      </c>
      <c r="AF59" s="782">
        <f t="shared" ref="AF59" si="33">EDATE(AE59,-1)</f>
        <v>45200</v>
      </c>
      <c r="AG59" s="782">
        <f t="shared" ref="AG59" si="34">EDATE(AF59,-1)</f>
        <v>45170</v>
      </c>
      <c r="AH59" s="782">
        <f t="shared" ref="AH59" si="35">EDATE(AG59,-1)</f>
        <v>45139</v>
      </c>
      <c r="AI59" s="782">
        <f t="shared" ref="AI59" si="36">EDATE(AH59,-1)</f>
        <v>45108</v>
      </c>
      <c r="AJ59" s="782">
        <f t="shared" ref="AJ59" si="37">EDATE(AI59,-1)</f>
        <v>45078</v>
      </c>
      <c r="AK59" s="782">
        <f t="shared" ref="AK59" si="38">EDATE(AJ59,-1)</f>
        <v>45047</v>
      </c>
      <c r="AL59" s="782">
        <f t="shared" ref="AL59" si="39">EDATE(AK59,-1)</f>
        <v>45017</v>
      </c>
      <c r="AM59" s="782">
        <f t="shared" ref="AM59" si="40">EDATE(AL59,-1)</f>
        <v>44986</v>
      </c>
    </row>
    <row r="60" spans="1:39" s="46" customFormat="1">
      <c r="A60" s="306"/>
      <c r="B60" s="307"/>
      <c r="C60" s="780">
        <v>100</v>
      </c>
      <c r="D60" s="309">
        <v>100</v>
      </c>
      <c r="E60" s="309">
        <v>100</v>
      </c>
      <c r="F60" s="309">
        <v>101</v>
      </c>
      <c r="G60" s="309">
        <v>101</v>
      </c>
      <c r="H60" s="309">
        <v>101</v>
      </c>
      <c r="I60" s="309">
        <v>101</v>
      </c>
      <c r="J60" s="309">
        <v>101</v>
      </c>
      <c r="K60" s="309">
        <v>101</v>
      </c>
      <c r="L60" s="309">
        <v>101</v>
      </c>
      <c r="M60" s="310">
        <v>101</v>
      </c>
      <c r="N60" s="309">
        <v>101</v>
      </c>
      <c r="O60" s="310">
        <v>101</v>
      </c>
      <c r="P60" s="310">
        <v>101</v>
      </c>
      <c r="Q60" s="310">
        <v>101</v>
      </c>
      <c r="R60" s="310">
        <v>102</v>
      </c>
      <c r="S60" s="310">
        <v>102</v>
      </c>
      <c r="T60" s="310">
        <v>102</v>
      </c>
      <c r="U60" s="310">
        <v>102</v>
      </c>
      <c r="V60" s="310">
        <v>102</v>
      </c>
      <c r="W60" s="310">
        <v>102</v>
      </c>
      <c r="X60" s="310">
        <v>102</v>
      </c>
      <c r="Y60" s="310">
        <v>102</v>
      </c>
      <c r="Z60" s="310">
        <v>102</v>
      </c>
      <c r="AA60" s="310">
        <v>102</v>
      </c>
      <c r="AB60" s="310">
        <v>102</v>
      </c>
      <c r="AC60" s="310">
        <v>102</v>
      </c>
      <c r="AD60" s="310">
        <v>103</v>
      </c>
      <c r="AE60" s="310">
        <v>103</v>
      </c>
      <c r="AF60" s="310">
        <v>103</v>
      </c>
      <c r="AG60" s="310">
        <v>103</v>
      </c>
      <c r="AH60" s="310">
        <v>103</v>
      </c>
      <c r="AI60" s="310">
        <v>103</v>
      </c>
      <c r="AJ60" s="310">
        <v>103</v>
      </c>
      <c r="AK60" s="310">
        <v>103</v>
      </c>
      <c r="AL60" s="310">
        <v>103</v>
      </c>
      <c r="AM60" s="310">
        <v>103</v>
      </c>
    </row>
    <row r="61" spans="1:39" s="46" customFormat="1" ht="14.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39" s="46" customFormat="1">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39" s="46" customFormat="1" ht="14.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39">
      <c r="A64" s="262" t="s">
        <v>1626</v>
      </c>
      <c r="B64" s="322" t="s">
        <v>1592</v>
      </c>
      <c r="C64" s="323" t="str">
        <f>C9</f>
        <v>办公</v>
      </c>
      <c r="D64" s="4261" t="s">
        <v>4172</v>
      </c>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5" thickBot="1">
      <c r="A65" s="254"/>
      <c r="B65" s="328"/>
      <c r="C65" s="329">
        <v>100</v>
      </c>
      <c r="D65" s="329">
        <v>105</v>
      </c>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8.5" thickTop="1">
      <c r="A66" s="254"/>
      <c r="B66" s="331" t="s">
        <v>1595</v>
      </c>
      <c r="C66" s="372" t="s">
        <v>4176</v>
      </c>
      <c r="D66" s="372" t="s">
        <v>4177</v>
      </c>
      <c r="E66" s="372" t="s">
        <v>4179</v>
      </c>
      <c r="F66" s="372" t="s">
        <v>4178</v>
      </c>
      <c r="G66" s="372" t="s">
        <v>4180</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3877</v>
      </c>
      <c r="C67" s="329">
        <f t="shared" ref="C67:E67" si="41">D67-5</f>
        <v>80</v>
      </c>
      <c r="D67" s="329">
        <f t="shared" si="41"/>
        <v>85</v>
      </c>
      <c r="E67" s="329">
        <f t="shared" si="41"/>
        <v>90</v>
      </c>
      <c r="F67" s="329">
        <f>G67-5</f>
        <v>95</v>
      </c>
      <c r="G67" s="329">
        <v>100</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4.5" thickTop="1">
      <c r="A68" s="254"/>
      <c r="B68" s="339" t="s">
        <v>1596</v>
      </c>
      <c r="C68" s="340" t="str">
        <f>C69&amp;"（含）"&amp;"-"&amp;D69</f>
        <v>0（含）-0.5</v>
      </c>
      <c r="D68" s="340" t="str">
        <f t="shared" ref="D68:L68" si="42">D69&amp;"（含）"&amp;"-"&amp;E69</f>
        <v>0.5（含）-1</v>
      </c>
      <c r="E68" s="340" t="str">
        <f t="shared" si="42"/>
        <v>1（含）-1.5</v>
      </c>
      <c r="F68" s="340" t="str">
        <f t="shared" si="42"/>
        <v>1.5（含）-2</v>
      </c>
      <c r="G68" s="340" t="str">
        <f t="shared" si="42"/>
        <v>2（含）-</v>
      </c>
      <c r="H68" s="340" t="str">
        <f t="shared" si="42"/>
        <v>（含）-</v>
      </c>
      <c r="I68" s="340" t="str">
        <f t="shared" si="42"/>
        <v>（含）-</v>
      </c>
      <c r="J68" s="340" t="str">
        <f t="shared" si="42"/>
        <v>（含）-</v>
      </c>
      <c r="K68" s="340" t="str">
        <f t="shared" si="42"/>
        <v>（含）-</v>
      </c>
      <c r="L68" s="340" t="str">
        <f t="shared" si="42"/>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5" thickBot="1">
      <c r="A70" s="254"/>
      <c r="B70" s="328"/>
      <c r="C70" s="337">
        <v>100</v>
      </c>
      <c r="D70" s="337">
        <f t="shared" ref="D70:M70" si="43">C70-$K11</f>
        <v>100</v>
      </c>
      <c r="E70" s="337">
        <f t="shared" si="43"/>
        <v>100</v>
      </c>
      <c r="F70" s="337">
        <f t="shared" si="43"/>
        <v>100</v>
      </c>
      <c r="G70" s="337">
        <f t="shared" si="43"/>
        <v>100</v>
      </c>
      <c r="H70" s="337">
        <f t="shared" si="43"/>
        <v>100</v>
      </c>
      <c r="I70" s="337">
        <f t="shared" si="43"/>
        <v>100</v>
      </c>
      <c r="J70" s="337">
        <f t="shared" si="43"/>
        <v>100</v>
      </c>
      <c r="K70" s="337">
        <f t="shared" si="43"/>
        <v>100</v>
      </c>
      <c r="L70" s="337">
        <f t="shared" si="43"/>
        <v>100</v>
      </c>
      <c r="M70" s="338">
        <f t="shared" si="43"/>
        <v>100</v>
      </c>
      <c r="N70" s="2010"/>
      <c r="O70" s="2010"/>
      <c r="P70" s="2018"/>
      <c r="Q70" s="1996"/>
      <c r="R70" s="1975"/>
      <c r="S70" s="1975"/>
      <c r="T70" s="1975"/>
      <c r="U70" s="1975"/>
      <c r="V70" s="1975"/>
      <c r="W70" s="1975"/>
      <c r="X70" s="1975"/>
      <c r="Y70" s="1975"/>
      <c r="Z70" s="1975"/>
      <c r="AA70" s="1975"/>
      <c r="AB70" s="1975"/>
      <c r="AC70" s="1975"/>
    </row>
    <row r="71" spans="1:29" s="279" customFormat="1" ht="14.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5" thickBot="1">
      <c r="A78" s="254"/>
      <c r="B78" s="336"/>
      <c r="C78" s="337">
        <v>100</v>
      </c>
      <c r="D78" s="337">
        <f>C78-$K15</f>
        <v>95</v>
      </c>
      <c r="E78" s="337">
        <f>D78-$K15</f>
        <v>90</v>
      </c>
      <c r="F78" s="337">
        <f>E78-$K15</f>
        <v>85</v>
      </c>
      <c r="G78" s="337">
        <f>F78-$K15</f>
        <v>80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4.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4.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4.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5" thickBot="1">
      <c r="A84" s="254"/>
      <c r="B84" s="339"/>
      <c r="C84" s="337">
        <v>100</v>
      </c>
      <c r="D84" s="337">
        <f>C84-$K21</f>
        <v>99</v>
      </c>
      <c r="E84" s="337">
        <f>D84-$K21</f>
        <v>98</v>
      </c>
      <c r="F84" s="337">
        <f>E84-$K21</f>
        <v>97</v>
      </c>
      <c r="G84" s="337">
        <f>F84-$K21</f>
        <v>96</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4.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5" thickBot="1">
      <c r="A86" s="254"/>
      <c r="B86" s="336"/>
      <c r="C86" s="337">
        <v>100</v>
      </c>
      <c r="D86" s="337">
        <f>C86-$K23</f>
        <v>98</v>
      </c>
      <c r="E86" s="337">
        <f>D86-$K23</f>
        <v>96</v>
      </c>
      <c r="F86" s="337">
        <f>E86-$K23</f>
        <v>94</v>
      </c>
      <c r="G86" s="337">
        <f>F86-$K23</f>
        <v>92</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8.5" thickTop="1">
      <c r="A87" s="257"/>
      <c r="B87" s="331" t="s">
        <v>1730</v>
      </c>
      <c r="C87" s="4259" t="s">
        <v>4192</v>
      </c>
      <c r="D87" s="4260" t="s">
        <v>4194</v>
      </c>
      <c r="E87" s="4260" t="s">
        <v>4196</v>
      </c>
      <c r="F87" s="4260" t="s">
        <v>4197</v>
      </c>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44">C88-$K25</f>
        <v>99</v>
      </c>
      <c r="E88" s="337">
        <f t="shared" si="44"/>
        <v>98</v>
      </c>
      <c r="F88" s="337">
        <f t="shared" si="44"/>
        <v>97</v>
      </c>
      <c r="G88" s="337">
        <f t="shared" si="44"/>
        <v>96</v>
      </c>
      <c r="H88" s="337">
        <f t="shared" si="44"/>
        <v>95</v>
      </c>
      <c r="I88" s="337">
        <f t="shared" si="44"/>
        <v>94</v>
      </c>
      <c r="J88" s="337">
        <f t="shared" si="44"/>
        <v>93</v>
      </c>
      <c r="K88" s="337">
        <f t="shared" si="44"/>
        <v>92</v>
      </c>
      <c r="L88" s="337">
        <f t="shared" si="44"/>
        <v>91</v>
      </c>
      <c r="M88" s="337">
        <f t="shared" si="44"/>
        <v>90</v>
      </c>
      <c r="N88" s="2010"/>
      <c r="O88" s="2010"/>
      <c r="P88" s="2018"/>
      <c r="Q88" s="1996"/>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45">D90-$K27</f>
        <v>100</v>
      </c>
      <c r="F90" s="337">
        <f t="shared" si="45"/>
        <v>100</v>
      </c>
      <c r="G90" s="337">
        <f t="shared" si="45"/>
        <v>100</v>
      </c>
      <c r="H90" s="337">
        <f t="shared" si="45"/>
        <v>100</v>
      </c>
      <c r="I90" s="337">
        <f t="shared" si="45"/>
        <v>100</v>
      </c>
      <c r="J90" s="337">
        <f t="shared" si="45"/>
        <v>100</v>
      </c>
      <c r="K90" s="337">
        <f t="shared" si="45"/>
        <v>100</v>
      </c>
      <c r="L90" s="337">
        <f t="shared" si="45"/>
        <v>100</v>
      </c>
      <c r="M90" s="337">
        <f t="shared" si="45"/>
        <v>100</v>
      </c>
      <c r="N90" s="2010"/>
      <c r="O90" s="2010"/>
      <c r="P90" s="2018"/>
      <c r="Q90" s="1996"/>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71">
        <v>100</v>
      </c>
      <c r="D92" s="337">
        <f t="shared" ref="D92:M92" si="46">C92-$K28</f>
        <v>100</v>
      </c>
      <c r="E92" s="337">
        <f t="shared" si="46"/>
        <v>100</v>
      </c>
      <c r="F92" s="337">
        <f t="shared" si="46"/>
        <v>100</v>
      </c>
      <c r="G92" s="337">
        <f t="shared" si="46"/>
        <v>100</v>
      </c>
      <c r="H92" s="337">
        <f t="shared" si="46"/>
        <v>100</v>
      </c>
      <c r="I92" s="337">
        <f t="shared" si="46"/>
        <v>100</v>
      </c>
      <c r="J92" s="337">
        <f t="shared" si="46"/>
        <v>100</v>
      </c>
      <c r="K92" s="337">
        <f t="shared" si="46"/>
        <v>100</v>
      </c>
      <c r="L92" s="337">
        <f t="shared" si="46"/>
        <v>100</v>
      </c>
      <c r="M92" s="337">
        <f t="shared" si="46"/>
        <v>100</v>
      </c>
      <c r="N92" s="2011"/>
      <c r="O92" s="2011"/>
      <c r="P92" s="2019"/>
      <c r="Q92" s="2003"/>
      <c r="R92" s="1981"/>
      <c r="S92" s="1981"/>
      <c r="T92" s="1981"/>
      <c r="U92" s="1981"/>
      <c r="V92" s="1981"/>
      <c r="W92" s="1981"/>
      <c r="X92" s="1981"/>
      <c r="Y92" s="1981"/>
      <c r="Z92" s="1981"/>
      <c r="AA92" s="1981"/>
      <c r="AB92" s="1981"/>
      <c r="AC92" s="1981"/>
    </row>
    <row r="93" spans="1:29" ht="14.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t="s">
        <v>4149</v>
      </c>
      <c r="D101" s="324" t="s">
        <v>4150</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37">
        <v>100</v>
      </c>
      <c r="D102" s="337">
        <f t="shared" ref="D102:M102" si="47">C102-$K33</f>
        <v>98</v>
      </c>
      <c r="E102" s="337">
        <f t="shared" si="47"/>
        <v>96</v>
      </c>
      <c r="F102" s="337">
        <f t="shared" si="47"/>
        <v>94</v>
      </c>
      <c r="G102" s="337">
        <f t="shared" si="47"/>
        <v>92</v>
      </c>
      <c r="H102" s="337">
        <f t="shared" si="47"/>
        <v>90</v>
      </c>
      <c r="I102" s="337">
        <f t="shared" si="47"/>
        <v>88</v>
      </c>
      <c r="J102" s="337">
        <f t="shared" si="47"/>
        <v>86</v>
      </c>
      <c r="K102" s="337">
        <f t="shared" si="47"/>
        <v>84</v>
      </c>
      <c r="L102" s="337">
        <f t="shared" si="47"/>
        <v>82</v>
      </c>
      <c r="M102" s="338">
        <f t="shared" si="47"/>
        <v>80</v>
      </c>
      <c r="N102" s="2010"/>
      <c r="O102" s="2010"/>
      <c r="P102" s="2018"/>
      <c r="Q102" s="1996"/>
      <c r="R102" s="1975"/>
      <c r="S102" s="1975"/>
      <c r="T102" s="1975"/>
      <c r="U102" s="1975"/>
      <c r="V102" s="1975"/>
      <c r="W102" s="1975"/>
      <c r="X102" s="1975"/>
      <c r="Y102" s="1975"/>
      <c r="Z102" s="1975"/>
      <c r="AA102" s="1975"/>
      <c r="AB102" s="1975"/>
      <c r="AC102" s="1975"/>
    </row>
    <row r="103" spans="1:29" ht="28.5" thickTop="1">
      <c r="A103" s="254"/>
      <c r="B103" s="331" t="s">
        <v>1644</v>
      </c>
      <c r="C103" s="368" t="str">
        <f>C104&amp;"(含)"&amp;"-"&amp;D104</f>
        <v>0(含)-5000</v>
      </c>
      <c r="D103" s="368" t="str">
        <f t="shared" ref="D103:L103" si="48">D104&amp;"(含)"&amp;"-"&amp;E104</f>
        <v>5000(含)-10000</v>
      </c>
      <c r="E103" s="368" t="str">
        <f t="shared" si="48"/>
        <v>10000(含)-20000</v>
      </c>
      <c r="F103" s="368" t="str">
        <f t="shared" si="48"/>
        <v>20000(含)-30000</v>
      </c>
      <c r="G103" s="368" t="str">
        <f t="shared" si="48"/>
        <v>30000(含)-</v>
      </c>
      <c r="H103" s="368" t="str">
        <f t="shared" si="48"/>
        <v>(含)-</v>
      </c>
      <c r="I103" s="368" t="str">
        <f t="shared" si="48"/>
        <v>(含)-</v>
      </c>
      <c r="J103" s="368" t="str">
        <f t="shared" si="48"/>
        <v>(含)-</v>
      </c>
      <c r="K103" s="368" t="str">
        <f t="shared" si="48"/>
        <v>(含)-</v>
      </c>
      <c r="L103" s="368" t="str">
        <f t="shared" si="48"/>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5000</v>
      </c>
      <c r="E104" s="5">
        <v>10000</v>
      </c>
      <c r="F104" s="5">
        <v>20000</v>
      </c>
      <c r="G104" s="5">
        <v>30000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5" thickBot="1">
      <c r="A105" s="346"/>
      <c r="B105" s="336"/>
      <c r="C105" s="352">
        <v>100</v>
      </c>
      <c r="D105" s="329">
        <f>C105-1</f>
        <v>99</v>
      </c>
      <c r="E105" s="329">
        <f t="shared" ref="E105:G105" si="49">D105-1</f>
        <v>98</v>
      </c>
      <c r="F105" s="329">
        <f t="shared" si="49"/>
        <v>97</v>
      </c>
      <c r="G105" s="329">
        <f t="shared" si="49"/>
        <v>96</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4.5" thickTop="1">
      <c r="A106" s="280"/>
      <c r="B106" s="331" t="s">
        <v>1645</v>
      </c>
      <c r="C106" s="347" t="s">
        <v>4151</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5" thickBot="1">
      <c r="A107" s="254"/>
      <c r="B107" s="336"/>
      <c r="C107" s="337">
        <v>100</v>
      </c>
      <c r="D107" s="337">
        <f t="shared" ref="D107:M107" si="50">C107-$K35</f>
        <v>98</v>
      </c>
      <c r="E107" s="337">
        <f t="shared" si="50"/>
        <v>96</v>
      </c>
      <c r="F107" s="337">
        <f t="shared" si="50"/>
        <v>94</v>
      </c>
      <c r="G107" s="337">
        <f t="shared" si="50"/>
        <v>92</v>
      </c>
      <c r="H107" s="337">
        <f t="shared" si="50"/>
        <v>90</v>
      </c>
      <c r="I107" s="337">
        <f t="shared" si="50"/>
        <v>88</v>
      </c>
      <c r="J107" s="337">
        <f t="shared" si="50"/>
        <v>86</v>
      </c>
      <c r="K107" s="337">
        <f t="shared" si="50"/>
        <v>84</v>
      </c>
      <c r="L107" s="337">
        <f t="shared" si="50"/>
        <v>82</v>
      </c>
      <c r="M107" s="338">
        <f t="shared" si="50"/>
        <v>80</v>
      </c>
      <c r="N107" s="2010"/>
      <c r="O107" s="2010"/>
      <c r="P107" s="2018"/>
      <c r="Q107" s="1996"/>
      <c r="R107" s="1975"/>
      <c r="S107" s="1975"/>
      <c r="T107" s="1975"/>
      <c r="U107" s="1975"/>
      <c r="V107" s="1975"/>
      <c r="W107" s="1975"/>
      <c r="X107" s="1975"/>
      <c r="Y107" s="1975"/>
      <c r="Z107" s="1975"/>
      <c r="AA107" s="1975"/>
      <c r="AB107" s="1975"/>
      <c r="AC107" s="1975"/>
    </row>
    <row r="108" spans="1:29" ht="14.5" thickTop="1">
      <c r="A108" s="280"/>
      <c r="B108" s="331" t="s">
        <v>1647</v>
      </c>
      <c r="C108" s="347" t="s">
        <v>4152</v>
      </c>
      <c r="D108" s="347" t="s">
        <v>4153</v>
      </c>
      <c r="E108" s="347" t="s">
        <v>4154</v>
      </c>
      <c r="F108" s="372" t="s">
        <v>4155</v>
      </c>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5" thickBot="1">
      <c r="A109" s="254"/>
      <c r="B109" s="336"/>
      <c r="C109" s="337">
        <v>100</v>
      </c>
      <c r="D109" s="337">
        <f t="shared" ref="D109:M109" si="51">C109-$K36</f>
        <v>100</v>
      </c>
      <c r="E109" s="337">
        <f t="shared" si="51"/>
        <v>100</v>
      </c>
      <c r="F109" s="337">
        <f t="shared" si="51"/>
        <v>100</v>
      </c>
      <c r="G109" s="337">
        <f t="shared" si="51"/>
        <v>100</v>
      </c>
      <c r="H109" s="337">
        <f t="shared" si="51"/>
        <v>100</v>
      </c>
      <c r="I109" s="337">
        <f t="shared" si="51"/>
        <v>100</v>
      </c>
      <c r="J109" s="337">
        <f t="shared" si="51"/>
        <v>100</v>
      </c>
      <c r="K109" s="337">
        <f t="shared" si="51"/>
        <v>100</v>
      </c>
      <c r="L109" s="337">
        <f t="shared" si="51"/>
        <v>100</v>
      </c>
      <c r="M109" s="338">
        <f t="shared" si="51"/>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52">G111&amp;"(含)"&amp;"-"&amp;H111</f>
        <v>0.7(含)-0.75</v>
      </c>
      <c r="H110" s="368" t="str">
        <f t="shared" si="52"/>
        <v>0.75(含)-0.8</v>
      </c>
      <c r="I110" s="368" t="str">
        <f t="shared" si="52"/>
        <v>0.8(含)-0.85</v>
      </c>
      <c r="J110" s="368" t="str">
        <f t="shared" si="52"/>
        <v>0.85(含)-0.9</v>
      </c>
      <c r="K110" s="368" t="str">
        <f t="shared" si="52"/>
        <v>0.9(含)-0.95</v>
      </c>
      <c r="L110" s="368" t="str">
        <f t="shared" ref="L110" si="53">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5" thickBot="1">
      <c r="A112" s="254"/>
      <c r="B112" s="336"/>
      <c r="C112" s="371">
        <v>100</v>
      </c>
      <c r="D112" s="337">
        <f>C112+$K37</f>
        <v>102</v>
      </c>
      <c r="E112" s="337">
        <f t="shared" ref="E112:M112" si="54">D112+$K37</f>
        <v>104</v>
      </c>
      <c r="F112" s="337">
        <f t="shared" si="54"/>
        <v>106</v>
      </c>
      <c r="G112" s="337">
        <f t="shared" si="54"/>
        <v>108</v>
      </c>
      <c r="H112" s="337">
        <f t="shared" si="54"/>
        <v>110</v>
      </c>
      <c r="I112" s="337">
        <f t="shared" si="54"/>
        <v>112</v>
      </c>
      <c r="J112" s="337">
        <f t="shared" si="54"/>
        <v>114</v>
      </c>
      <c r="K112" s="337">
        <f t="shared" si="54"/>
        <v>116</v>
      </c>
      <c r="L112" s="337">
        <f t="shared" si="54"/>
        <v>118</v>
      </c>
      <c r="M112" s="337">
        <f t="shared" si="54"/>
        <v>120</v>
      </c>
      <c r="N112" s="2010"/>
      <c r="O112" s="2010"/>
      <c r="P112" s="2018"/>
      <c r="Q112" s="1996"/>
      <c r="R112" s="1975"/>
      <c r="S112" s="1975"/>
      <c r="T112" s="1975"/>
      <c r="U112" s="1975"/>
      <c r="V112" s="1975"/>
      <c r="W112" s="1975"/>
      <c r="X112" s="1975"/>
      <c r="Y112" s="1975"/>
      <c r="Z112" s="1975"/>
      <c r="AA112" s="1975"/>
      <c r="AB112" s="1975"/>
      <c r="AC112" s="1975"/>
    </row>
    <row r="113" spans="1:29" s="279" customFormat="1" ht="14.5" thickTop="1">
      <c r="A113" s="277"/>
      <c r="B113" s="331" t="s">
        <v>1731</v>
      </c>
      <c r="C113" s="347" t="s">
        <v>4156</v>
      </c>
      <c r="D113" s="347" t="s">
        <v>4157</v>
      </c>
      <c r="E113" s="347" t="s">
        <v>4158</v>
      </c>
      <c r="F113" s="347" t="s">
        <v>4159</v>
      </c>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5" thickBot="1">
      <c r="A114" s="346"/>
      <c r="B114" s="336"/>
      <c r="C114" s="337">
        <v>100</v>
      </c>
      <c r="D114" s="337">
        <f>C114-$K38</f>
        <v>98</v>
      </c>
      <c r="E114" s="337">
        <f t="shared" ref="E114:M114" si="55">D114-$K38</f>
        <v>96</v>
      </c>
      <c r="F114" s="337">
        <f t="shared" si="55"/>
        <v>94</v>
      </c>
      <c r="G114" s="337">
        <f t="shared" si="55"/>
        <v>92</v>
      </c>
      <c r="H114" s="337">
        <f t="shared" si="55"/>
        <v>90</v>
      </c>
      <c r="I114" s="337">
        <f t="shared" si="55"/>
        <v>88</v>
      </c>
      <c r="J114" s="337">
        <f t="shared" si="55"/>
        <v>86</v>
      </c>
      <c r="K114" s="337">
        <f t="shared" si="55"/>
        <v>84</v>
      </c>
      <c r="L114" s="337">
        <f t="shared" si="55"/>
        <v>82</v>
      </c>
      <c r="M114" s="337">
        <f t="shared" si="55"/>
        <v>80</v>
      </c>
      <c r="N114" s="2011"/>
      <c r="O114" s="2011"/>
      <c r="P114" s="2019"/>
      <c r="Q114" s="2003"/>
      <c r="R114" s="1981"/>
      <c r="S114" s="1981"/>
      <c r="T114" s="1981"/>
      <c r="U114" s="1981"/>
      <c r="V114" s="1981"/>
      <c r="W114" s="1981"/>
      <c r="X114" s="1981"/>
      <c r="Y114" s="1981"/>
      <c r="Z114" s="1981"/>
      <c r="AA114" s="1981"/>
      <c r="AB114" s="1981"/>
      <c r="AC114" s="1981"/>
    </row>
    <row r="115" spans="1:29" ht="14.5" thickTop="1">
      <c r="A115" s="280"/>
      <c r="B115" s="331" t="s">
        <v>1648</v>
      </c>
      <c r="C115" s="347" t="s">
        <v>4160</v>
      </c>
      <c r="D115" s="347" t="s">
        <v>4161</v>
      </c>
      <c r="E115" s="372" t="s">
        <v>4162</v>
      </c>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5" thickBot="1">
      <c r="A116" s="254"/>
      <c r="B116" s="336"/>
      <c r="C116" s="337">
        <v>100</v>
      </c>
      <c r="D116" s="337">
        <f t="shared" ref="D116:M116" si="56">C116-$K39</f>
        <v>98</v>
      </c>
      <c r="E116" s="337">
        <f t="shared" si="56"/>
        <v>96</v>
      </c>
      <c r="F116" s="337">
        <f t="shared" si="56"/>
        <v>94</v>
      </c>
      <c r="G116" s="337">
        <f t="shared" si="56"/>
        <v>92</v>
      </c>
      <c r="H116" s="337">
        <f t="shared" si="56"/>
        <v>90</v>
      </c>
      <c r="I116" s="337">
        <f t="shared" si="56"/>
        <v>88</v>
      </c>
      <c r="J116" s="337">
        <f t="shared" si="56"/>
        <v>86</v>
      </c>
      <c r="K116" s="337">
        <f t="shared" si="56"/>
        <v>84</v>
      </c>
      <c r="L116" s="337">
        <f t="shared" si="56"/>
        <v>82</v>
      </c>
      <c r="M116" s="338">
        <f t="shared" si="56"/>
        <v>80</v>
      </c>
      <c r="N116" s="2010"/>
      <c r="O116" s="2010"/>
      <c r="P116" s="2018"/>
      <c r="Q116" s="1996"/>
      <c r="R116" s="1975"/>
      <c r="S116" s="1975"/>
      <c r="T116" s="1975"/>
      <c r="U116" s="1975"/>
      <c r="V116" s="1975"/>
      <c r="W116" s="1975"/>
      <c r="X116" s="1975"/>
      <c r="Y116" s="1975"/>
      <c r="Z116" s="1975"/>
      <c r="AA116" s="1975"/>
      <c r="AB116" s="1975"/>
      <c r="AC116" s="1975"/>
    </row>
    <row r="117" spans="1:29" ht="14.5" thickTop="1">
      <c r="A117" s="280"/>
      <c r="B117" s="331" t="s">
        <v>1649</v>
      </c>
      <c r="C117" s="347" t="s">
        <v>4163</v>
      </c>
      <c r="D117" s="347" t="s">
        <v>4164</v>
      </c>
      <c r="E117" s="347" t="s">
        <v>4165</v>
      </c>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4.5" thickTop="1">
      <c r="A119" s="280"/>
      <c r="B119" s="410" t="s">
        <v>1732</v>
      </c>
      <c r="C119" s="372" t="s">
        <v>4166</v>
      </c>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5" thickBot="1">
      <c r="A120" s="254"/>
      <c r="B120" s="336"/>
      <c r="C120" s="371">
        <v>100</v>
      </c>
      <c r="D120" s="337">
        <f>C120-$K41</f>
        <v>95</v>
      </c>
      <c r="E120" s="337">
        <f t="shared" ref="E120:M120" si="57">D120-$K41</f>
        <v>90</v>
      </c>
      <c r="F120" s="337">
        <f t="shared" si="57"/>
        <v>85</v>
      </c>
      <c r="G120" s="337">
        <f t="shared" si="57"/>
        <v>80</v>
      </c>
      <c r="H120" s="337">
        <f t="shared" si="57"/>
        <v>75</v>
      </c>
      <c r="I120" s="337">
        <f t="shared" si="57"/>
        <v>70</v>
      </c>
      <c r="J120" s="337">
        <f t="shared" si="57"/>
        <v>65</v>
      </c>
      <c r="K120" s="337">
        <f t="shared" si="57"/>
        <v>60</v>
      </c>
      <c r="L120" s="337">
        <f t="shared" si="57"/>
        <v>55</v>
      </c>
      <c r="M120" s="337">
        <f t="shared" si="57"/>
        <v>50</v>
      </c>
      <c r="N120" s="2010"/>
      <c r="O120" s="2010"/>
      <c r="P120" s="2018"/>
      <c r="Q120" s="1996"/>
      <c r="R120" s="1975"/>
      <c r="S120" s="1975"/>
      <c r="T120" s="1975"/>
      <c r="U120" s="1975"/>
      <c r="V120" s="1975"/>
      <c r="W120" s="1975"/>
      <c r="X120" s="1975"/>
      <c r="Y120" s="1975"/>
      <c r="Z120" s="1975"/>
      <c r="AA120" s="1975"/>
      <c r="AB120" s="1975"/>
      <c r="AC120" s="1975"/>
    </row>
    <row r="121" spans="1:29" s="279" customFormat="1" ht="14.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28.5" thickTop="1">
      <c r="A123" s="280"/>
      <c r="B123" s="331" t="s">
        <v>1651</v>
      </c>
      <c r="C123" s="347" t="s">
        <v>4152</v>
      </c>
      <c r="D123" s="347" t="s">
        <v>4153</v>
      </c>
      <c r="E123" s="347" t="s">
        <v>4154</v>
      </c>
      <c r="F123" s="4268" t="s">
        <v>4183</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5" thickBot="1">
      <c r="A124" s="254"/>
      <c r="B124" s="336"/>
      <c r="C124" s="337">
        <v>100</v>
      </c>
      <c r="D124" s="337">
        <f t="shared" ref="D124:M124" si="58">C124-$K43</f>
        <v>99</v>
      </c>
      <c r="E124" s="337">
        <f t="shared" si="58"/>
        <v>98</v>
      </c>
      <c r="F124" s="337">
        <f t="shared" si="58"/>
        <v>97</v>
      </c>
      <c r="G124" s="337">
        <f t="shared" si="58"/>
        <v>96</v>
      </c>
      <c r="H124" s="337">
        <f t="shared" si="58"/>
        <v>95</v>
      </c>
      <c r="I124" s="337">
        <f t="shared" si="58"/>
        <v>94</v>
      </c>
      <c r="J124" s="337">
        <f t="shared" si="58"/>
        <v>93</v>
      </c>
      <c r="K124" s="337">
        <f t="shared" si="58"/>
        <v>92</v>
      </c>
      <c r="L124" s="337">
        <f t="shared" si="58"/>
        <v>91</v>
      </c>
      <c r="M124" s="338">
        <f t="shared" si="58"/>
        <v>90</v>
      </c>
      <c r="N124" s="2010"/>
      <c r="O124" s="2010"/>
      <c r="P124" s="2018"/>
      <c r="Q124" s="1996"/>
      <c r="R124" s="1975"/>
      <c r="S124" s="1975"/>
      <c r="T124" s="1975"/>
      <c r="U124" s="1975"/>
      <c r="V124" s="1975"/>
      <c r="W124" s="1975"/>
      <c r="X124" s="1975"/>
      <c r="Y124" s="1975"/>
      <c r="Z124" s="1975"/>
      <c r="AA124" s="1975"/>
      <c r="AB124" s="1975"/>
      <c r="AC124" s="1975"/>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5" thickTop="1">
      <c r="A127" s="277"/>
      <c r="B127" s="331" t="str">
        <f>B45</f>
        <v>地下面积占比</v>
      </c>
      <c r="C127" s="347" t="s">
        <v>4188</v>
      </c>
      <c r="D127" s="347" t="s">
        <v>4184</v>
      </c>
      <c r="E127" s="347" t="s">
        <v>4189</v>
      </c>
      <c r="F127" s="347" t="s">
        <v>4190</v>
      </c>
      <c r="G127" s="347" t="s">
        <v>4191</v>
      </c>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5" thickBot="1">
      <c r="A128" s="346"/>
      <c r="B128" s="336"/>
      <c r="C128" s="352">
        <v>100</v>
      </c>
      <c r="D128" s="329">
        <f>C128-5</f>
        <v>95</v>
      </c>
      <c r="E128" s="329">
        <f t="shared" ref="E128:G128" si="59">D128-5</f>
        <v>90</v>
      </c>
      <c r="F128" s="329">
        <f t="shared" si="59"/>
        <v>85</v>
      </c>
      <c r="G128" s="352">
        <f t="shared" si="59"/>
        <v>80</v>
      </c>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gvZzMD6LMqnOqogqh83wAmjAGSKqjtt6aukE/HfuyWacRrqEgC3ktxpDsLa9gKEvmjgYpnfCIPHG8V6PCLKUlg==" saltValue="7QKgEJrlB5FHnE2IV1kAYw==" spinCount="100000" sheet="1" objects="1" scenarios="1"/>
  <mergeCells count="40">
    <mergeCell ref="AA4:AA6"/>
    <mergeCell ref="AB4:AB6"/>
    <mergeCell ref="Y7:Z7"/>
    <mergeCell ref="R4:S6"/>
    <mergeCell ref="C6:D6"/>
    <mergeCell ref="E6:F6"/>
    <mergeCell ref="G6:H6"/>
    <mergeCell ref="I5:J5"/>
    <mergeCell ref="E5:F5"/>
    <mergeCell ref="G5:H5"/>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I26 E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65" sqref="J65"/>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t="s">
        <v>19</v>
      </c>
      <c r="D1" s="914" t="s">
        <v>41</v>
      </c>
      <c r="E1" s="915" t="s">
        <v>665</v>
      </c>
      <c r="F1" s="3412">
        <f ca="1">J62</f>
        <v>17.86</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13192</v>
      </c>
      <c r="C2" s="932" t="s">
        <v>790</v>
      </c>
      <c r="D2" s="3323" t="s">
        <v>4126</v>
      </c>
      <c r="E2" s="937"/>
      <c r="F2" s="938"/>
      <c r="G2" s="1966"/>
      <c r="H2" s="1956"/>
      <c r="I2" s="1956"/>
      <c r="J2" s="1956"/>
      <c r="K2" s="1957"/>
      <c r="L2" s="1956"/>
      <c r="M2" s="1956"/>
    </row>
    <row r="3" spans="1:37" ht="18" customHeight="1" thickBot="1">
      <c r="A3" s="939" t="s">
        <v>791</v>
      </c>
      <c r="B3" s="2754">
        <f ca="1">IF(ISERROR(B2*10000/F32),0,ROUND(B2*10000/F32,0))</f>
        <v>10993</v>
      </c>
      <c r="C3" s="932" t="s">
        <v>792</v>
      </c>
      <c r="D3" s="932"/>
      <c r="E3" s="937"/>
      <c r="F3" s="938"/>
      <c r="G3" s="1966"/>
      <c r="H3" s="467" t="s">
        <v>860</v>
      </c>
      <c r="I3" s="933"/>
      <c r="J3" s="933"/>
      <c r="K3" s="934"/>
      <c r="L3" s="933"/>
      <c r="M3" s="933"/>
    </row>
    <row r="4" spans="1:37" s="118" customFormat="1" ht="18" customHeight="1">
      <c r="A4" s="2723" t="s">
        <v>3879</v>
      </c>
      <c r="B4" s="2724" t="s">
        <v>3880</v>
      </c>
      <c r="C4" s="3570" t="s">
        <v>3818</v>
      </c>
      <c r="D4" s="2724" t="s">
        <v>3881</v>
      </c>
      <c r="E4" s="4000" t="s">
        <v>3882</v>
      </c>
      <c r="F4" s="4001"/>
      <c r="G4" s="4002"/>
      <c r="H4" s="2723" t="s">
        <v>3879</v>
      </c>
      <c r="I4" s="2724" t="s">
        <v>3880</v>
      </c>
      <c r="J4" s="3570" t="s">
        <v>3818</v>
      </c>
      <c r="K4" s="2724" t="s">
        <v>3881</v>
      </c>
      <c r="L4" s="4000" t="s">
        <v>3882</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3403</v>
      </c>
      <c r="C5" s="4094">
        <f ca="1">ROUND(C6+C10+C12,0)</f>
        <v>1105</v>
      </c>
      <c r="D5" s="4003" t="s">
        <v>3885</v>
      </c>
      <c r="E5" s="4004"/>
      <c r="F5" s="4005"/>
      <c r="G5" s="4002"/>
      <c r="H5" s="183">
        <v>1</v>
      </c>
      <c r="I5" s="3914" t="s">
        <v>3403</v>
      </c>
      <c r="J5" s="4094">
        <f ca="1">ROUND(J6+J10+J12,0)</f>
        <v>0</v>
      </c>
      <c r="K5" s="4003" t="s">
        <v>3885</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3796</v>
      </c>
      <c r="C6" s="3856">
        <f ca="1">C7-C9</f>
        <v>1103.78</v>
      </c>
      <c r="D6" s="2715" t="s">
        <v>3800</v>
      </c>
      <c r="E6" s="2713" t="s">
        <v>3401</v>
      </c>
      <c r="F6" s="3028">
        <f ca="1">INDIRECT("'数据-取费表'!u"&amp;$G$1)</f>
        <v>2.8</v>
      </c>
      <c r="G6" s="935"/>
      <c r="H6" s="707" t="s">
        <v>392</v>
      </c>
      <c r="I6" s="2714" t="s">
        <v>3796</v>
      </c>
      <c r="J6" s="4088">
        <f ca="1">J7-J9</f>
        <v>0</v>
      </c>
      <c r="K6" s="2715" t="s">
        <v>3800</v>
      </c>
      <c r="L6" s="2713" t="s">
        <v>3401</v>
      </c>
      <c r="M6" s="3028">
        <f ca="1">INDIRECT("'数据-取费表'!z"&amp;$G$1)</f>
        <v>0</v>
      </c>
    </row>
    <row r="7" spans="1:37" ht="18" customHeight="1">
      <c r="A7" s="4504" t="s">
        <v>391</v>
      </c>
      <c r="B7" s="4510" t="s">
        <v>3794</v>
      </c>
      <c r="C7" s="4634">
        <f ca="1">ROUND(F6*F7*F8/10000,2)</f>
        <v>1226.42</v>
      </c>
      <c r="D7" s="4509" t="s">
        <v>3472</v>
      </c>
      <c r="E7" s="714" t="s">
        <v>682</v>
      </c>
      <c r="F7" s="2761">
        <f ca="1">IF(INDIRECT("'数据-取费表'!ah"&amp;$G$1)="",INDIRECT("'数据-取费表'!k"&amp;$G$1),INDIRECT("'数据-取费表'!ah"&amp;$G$1))</f>
        <v>12000.23</v>
      </c>
      <c r="G7" s="935"/>
      <c r="H7" s="4504" t="s">
        <v>391</v>
      </c>
      <c r="I7" s="4510" t="s">
        <v>3794</v>
      </c>
      <c r="J7" s="4633">
        <f ca="1">ROUND(M6*M8*M7/10000,2)</f>
        <v>0</v>
      </c>
      <c r="K7" s="4509" t="s">
        <v>3472</v>
      </c>
      <c r="L7" s="186" t="s">
        <v>682</v>
      </c>
      <c r="M7" s="2761">
        <f ca="1">F7</f>
        <v>12000.23</v>
      </c>
    </row>
    <row r="8" spans="1:37" ht="18" customHeight="1">
      <c r="A8" s="4505"/>
      <c r="B8" s="4511"/>
      <c r="C8" s="4634"/>
      <c r="D8" s="4509"/>
      <c r="E8" s="186" t="str">
        <f ca="1">IF(F8=1,"年",IF(F8=12,"月","天"))</f>
        <v>天</v>
      </c>
      <c r="F8" s="3413">
        <f ca="1">INDIRECT("'数据-取费表'!ai"&amp;$G$1)</f>
        <v>365</v>
      </c>
      <c r="G8" s="935"/>
      <c r="H8" s="4505"/>
      <c r="I8" s="4511"/>
      <c r="J8" s="4633"/>
      <c r="K8" s="4509"/>
      <c r="L8" s="186" t="str">
        <f ca="1">IF(M8=1,"年",IF(M8=12,"月","天"))</f>
        <v>天</v>
      </c>
      <c r="M8" s="3413">
        <f ca="1">INDIRECT("'数据-取费表'!ai"&amp;$G$1)</f>
        <v>365</v>
      </c>
    </row>
    <row r="9" spans="1:37" ht="18" customHeight="1">
      <c r="A9" s="2700" t="s">
        <v>3402</v>
      </c>
      <c r="B9" s="4087" t="s">
        <v>3795</v>
      </c>
      <c r="C9" s="4086">
        <f ca="1">ROUND(C7*F9,2)</f>
        <v>122.64</v>
      </c>
      <c r="D9" s="2715" t="s">
        <v>3799</v>
      </c>
      <c r="E9" s="186" t="s">
        <v>684</v>
      </c>
      <c r="F9" s="2767">
        <f ca="1">INDIRECT("'数据-取费表'!w"&amp;$G$1)</f>
        <v>0.1</v>
      </c>
      <c r="G9" s="935"/>
      <c r="H9" s="2700" t="s">
        <v>3402</v>
      </c>
      <c r="I9" s="4087" t="s">
        <v>3795</v>
      </c>
      <c r="J9" s="4088">
        <f ca="1">ROUND(J7*M9,2)</f>
        <v>0</v>
      </c>
      <c r="K9" s="2715" t="s">
        <v>3799</v>
      </c>
      <c r="L9" s="197" t="s">
        <v>684</v>
      </c>
      <c r="M9" s="2829">
        <f ca="1">INDIRECT("'数据-取费表'!ab"&amp;$G$1)</f>
        <v>0</v>
      </c>
    </row>
    <row r="10" spans="1:37" ht="18" customHeight="1">
      <c r="A10" s="707" t="s">
        <v>396</v>
      </c>
      <c r="B10" s="917" t="s">
        <v>685</v>
      </c>
      <c r="C10" s="4088">
        <f ca="1">ROUND(IF(F10="押一",C6/12*F11,IF(F10="押二",C6/12*2*F11,IF(F10="押三",C6/12*3*F11,C11*F11))),2)</f>
        <v>1.38</v>
      </c>
      <c r="D10" s="59" t="s">
        <v>2021</v>
      </c>
      <c r="E10" s="197" t="s">
        <v>686</v>
      </c>
      <c r="F10" s="2763" t="s">
        <v>4130</v>
      </c>
      <c r="G10" s="935"/>
      <c r="H10" s="707" t="s">
        <v>396</v>
      </c>
      <c r="I10" s="917" t="s">
        <v>685</v>
      </c>
      <c r="J10" s="4089">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3677</v>
      </c>
      <c r="B13" s="717" t="s">
        <v>3886</v>
      </c>
      <c r="C13" s="3854">
        <f ca="1">ROUND(C14+C22+C24+C26,0)</f>
        <v>200</v>
      </c>
      <c r="D13" s="4006" t="s">
        <v>3887</v>
      </c>
      <c r="E13" s="4007"/>
      <c r="F13" s="4005"/>
      <c r="G13" s="4002"/>
      <c r="H13" s="716" t="s">
        <v>3677</v>
      </c>
      <c r="I13" s="717" t="s">
        <v>3886</v>
      </c>
      <c r="J13" s="3854">
        <f ca="1">ROUND(J14+J22+J24+J26,0)</f>
        <v>102</v>
      </c>
      <c r="K13" s="4008" t="s">
        <v>3888</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3970</v>
      </c>
      <c r="C14" s="4088">
        <f ca="1">ROUND(IF(AND(项目基本情况!B11="自然人",项目基本情况!B10="北京市",M56="住宅"),C6*F14,C15+C19+C20),2)</f>
        <v>146.41</v>
      </c>
      <c r="D14" s="900" t="s">
        <v>3446</v>
      </c>
      <c r="E14" s="900" t="str">
        <f>IF(M56="非住宅","","综合税率")</f>
        <v/>
      </c>
      <c r="F14" s="3838" t="str">
        <f>IF(M56="非住宅","",IF(F6*F7*F8/12/(1+'数据-取费表'!F30)&gt;100000,4%,2.5%))</f>
        <v/>
      </c>
      <c r="G14" s="935"/>
      <c r="H14" s="658" t="s">
        <v>392</v>
      </c>
      <c r="I14" s="2713" t="s">
        <v>3970</v>
      </c>
      <c r="J14" s="4088">
        <f ca="1">ROUND(IF(AND(项目基本情况!B11="自然人",项目基本情况!B10="北京市",M56="住宅"),J6*M14/(1+'数据-取费表'!C43),J15+J19+J20),2)</f>
        <v>64.94</v>
      </c>
      <c r="K14" s="2740" t="s">
        <v>3445</v>
      </c>
      <c r="L14" s="900" t="str">
        <f>E14</f>
        <v/>
      </c>
      <c r="M14" s="3838" t="str">
        <f>IF(M56="非住宅","",IF(M6*M7*M8/12/(1+'数据-取费表'!F30)&gt;100000,4%,2.5%))</f>
        <v/>
      </c>
    </row>
    <row r="15" spans="1:37" s="946" customFormat="1" ht="18" customHeight="1">
      <c r="A15" s="2700" t="s">
        <v>3404</v>
      </c>
      <c r="B15" s="2713" t="s">
        <v>3966</v>
      </c>
      <c r="C15" s="4088">
        <f ca="1">C18</f>
        <v>11.4</v>
      </c>
      <c r="D15" s="2430" t="s">
        <v>3975</v>
      </c>
      <c r="E15" s="4091"/>
      <c r="F15" s="4124"/>
      <c r="G15" s="945"/>
      <c r="H15" s="2700" t="s">
        <v>391</v>
      </c>
      <c r="I15" s="2713" t="s">
        <v>3966</v>
      </c>
      <c r="J15" s="4088">
        <f ca="1">J18</f>
        <v>-0.4</v>
      </c>
      <c r="K15" s="2430" t="s">
        <v>3965</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3289</v>
      </c>
      <c r="B16" s="2717" t="s">
        <v>3405</v>
      </c>
      <c r="C16" s="2720">
        <f ca="1">ROUND(C6*F16,2)</f>
        <v>99.34</v>
      </c>
      <c r="D16" s="994" t="s">
        <v>3857</v>
      </c>
      <c r="E16" s="2721" t="s">
        <v>3407</v>
      </c>
      <c r="F16" s="2765">
        <v>0.09</v>
      </c>
      <c r="G16" s="935"/>
      <c r="H16" s="2505" t="s">
        <v>3289</v>
      </c>
      <c r="I16" s="2717" t="s">
        <v>3405</v>
      </c>
      <c r="J16" s="2720">
        <f ca="1">ROUND(J6*M16,2)</f>
        <v>0</v>
      </c>
      <c r="K16" s="3980" t="s">
        <v>3863</v>
      </c>
      <c r="L16" s="2721" t="s">
        <v>3407</v>
      </c>
      <c r="M16" s="2765">
        <v>0.09</v>
      </c>
    </row>
    <row r="17" spans="1:37" s="946" customFormat="1" ht="18" customHeight="1">
      <c r="A17" s="2505" t="s">
        <v>3290</v>
      </c>
      <c r="B17" s="2717" t="s">
        <v>3406</v>
      </c>
      <c r="C17" s="2741">
        <f ca="1">ROUND(C22*F16+((C24+C26)*F17),2)</f>
        <v>4.34</v>
      </c>
      <c r="D17" s="3979" t="s">
        <v>3858</v>
      </c>
      <c r="E17" s="2722"/>
      <c r="F17" s="2765">
        <v>0.06</v>
      </c>
      <c r="G17" s="945"/>
      <c r="H17" s="2505" t="s">
        <v>3290</v>
      </c>
      <c r="I17" s="2717" t="s">
        <v>3406</v>
      </c>
      <c r="J17" s="2741">
        <f ca="1">ROUND(J22*M16+((J24+J26)*M17),2)</f>
        <v>3.36</v>
      </c>
      <c r="K17" s="3979" t="s">
        <v>3858</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3963</v>
      </c>
      <c r="B18" s="2717" t="s">
        <v>3984</v>
      </c>
      <c r="C18" s="2741">
        <f ca="1">ROUND((C16-C17)*F18,2)</f>
        <v>11.4</v>
      </c>
      <c r="D18" s="2740" t="s">
        <v>3985</v>
      </c>
      <c r="E18" s="186" t="s">
        <v>3986</v>
      </c>
      <c r="F18" s="2765">
        <f>'数据-取费表'!B44</f>
        <v>0.12000000000000001</v>
      </c>
      <c r="G18" s="945"/>
      <c r="H18" s="2505" t="s">
        <v>3963</v>
      </c>
      <c r="I18" s="2717" t="s">
        <v>3962</v>
      </c>
      <c r="J18" s="2741">
        <f ca="1">ROUND((J16-J17)*M18,2)</f>
        <v>-0.4</v>
      </c>
      <c r="K18" s="2740" t="s">
        <v>3985</v>
      </c>
      <c r="L18" s="186" t="s">
        <v>3986</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3971</v>
      </c>
      <c r="C19" s="4088">
        <f ca="1">IF(AND(项目基本情况!B11="自然人",M56="住宅"),"——",IF(D19="按不含税租金收入（有效毛租金收入）计税",ROUND(C6*F19,2),IF(D19="按房产原值计税",ROUND(C51*F19*0.7,2),INDIRECT("'数据-取费表'!Aj"&amp;$G$1))))</f>
        <v>132.44999999999999</v>
      </c>
      <c r="D19" s="2716" t="s">
        <v>4131</v>
      </c>
      <c r="E19" s="186" t="s">
        <v>697</v>
      </c>
      <c r="F19" s="2765">
        <f>IF(D19="按票据","——",IF(D19="按不含税租金收入（有效毛租金收入）计税",'数据-取费表'!B52,'数据-取费表'!B51))</f>
        <v>0.12</v>
      </c>
      <c r="G19" s="945"/>
      <c r="H19" s="2700" t="s">
        <v>393</v>
      </c>
      <c r="I19" s="2713" t="s">
        <v>3972</v>
      </c>
      <c r="J19" s="4088">
        <f ca="1">IF(K19="按不含税租金收入（有效毛租金收入）计税",ROUND(J6*M19,2),ROUND(C51*M19*0.7,2))</f>
        <v>62.78</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3968</v>
      </c>
      <c r="C20" s="4089">
        <f ca="1">IF(AND(项目基本情况!B11="自然人",M56="住宅"),"——",ROUND(F20*F21/10000,2))</f>
        <v>2.56</v>
      </c>
      <c r="D20" s="207" t="s">
        <v>716</v>
      </c>
      <c r="E20" s="186" t="s">
        <v>717</v>
      </c>
      <c r="F20" s="2766">
        <f>'数据-取费表'!B53</f>
        <v>24</v>
      </c>
      <c r="G20" s="935"/>
      <c r="H20" s="4092" t="s">
        <v>666</v>
      </c>
      <c r="I20" s="927" t="s">
        <v>3968</v>
      </c>
      <c r="J20" s="4089">
        <f ca="1">ROUND(M20*M21/10000,2)</f>
        <v>2.56</v>
      </c>
      <c r="K20" s="207" t="s">
        <v>716</v>
      </c>
      <c r="L20" s="186" t="s">
        <v>717</v>
      </c>
      <c r="M20" s="2766">
        <f>'数据-取费表'!B53</f>
        <v>24</v>
      </c>
    </row>
    <row r="21" spans="1:37" s="946" customFormat="1" ht="18" customHeight="1">
      <c r="A21" s="209"/>
      <c r="B21" s="738"/>
      <c r="C21" s="4090"/>
      <c r="D21" s="210"/>
      <c r="E21" s="186" t="s">
        <v>721</v>
      </c>
      <c r="F21" s="2761">
        <f ca="1">INDIRECT("'数据-取费表'!r"&amp;$G$1)</f>
        <v>1066.21</v>
      </c>
      <c r="G21" s="945"/>
      <c r="H21" s="209"/>
      <c r="I21" s="195"/>
      <c r="J21" s="4090"/>
      <c r="K21" s="210"/>
      <c r="L21" s="186" t="s">
        <v>721</v>
      </c>
      <c r="M21" s="2761">
        <f ca="1">INDIRECT("'数据-取费表'!r"&amp;$G$1)</f>
        <v>1066.21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37.369999999999997</v>
      </c>
      <c r="D22" s="1776" t="s">
        <v>3819</v>
      </c>
      <c r="E22" s="186" t="s">
        <v>697</v>
      </c>
      <c r="F22" s="2767">
        <f ca="1">INDIRECT("'数据-取费表'!Ak"&amp;$G$1)</f>
        <v>5.0000000000000001E-3</v>
      </c>
      <c r="G22" s="945"/>
      <c r="H22" s="3860" t="s">
        <v>396</v>
      </c>
      <c r="I22" s="56" t="s">
        <v>723</v>
      </c>
      <c r="J22" s="3861">
        <f ca="1">ROUND(J35*M22,2)</f>
        <v>37.369999999999997</v>
      </c>
      <c r="K22" s="1776" t="s">
        <v>724</v>
      </c>
      <c r="L22" s="186" t="s">
        <v>697</v>
      </c>
      <c r="M22" s="2767">
        <f ca="1">INDIRECT("'数据-取费表'!Ak"&amp;$G$1)</f>
        <v>5.0000000000000001E-3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3" t="s">
        <v>3820</v>
      </c>
      <c r="F23" s="3413">
        <f ca="1">C51</f>
        <v>7474</v>
      </c>
      <c r="G23" s="945"/>
      <c r="H23" s="209"/>
      <c r="I23" s="195"/>
      <c r="J23" s="3862"/>
      <c r="K23" s="3927"/>
      <c r="L23" s="2713" t="s">
        <v>3820</v>
      </c>
      <c r="M23" s="3413">
        <f ca="1">J35</f>
        <v>7474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5.23</v>
      </c>
      <c r="D24" s="1776" t="s">
        <v>3443</v>
      </c>
      <c r="E24" s="186" t="s">
        <v>729</v>
      </c>
      <c r="F24" s="2767">
        <f ca="1">INDIRECT("'数据-取费表'!Al"&amp;$G$1)</f>
        <v>1E-3</v>
      </c>
      <c r="G24" s="935"/>
      <c r="H24" s="3860" t="s">
        <v>431</v>
      </c>
      <c r="I24" s="56" t="s">
        <v>727</v>
      </c>
      <c r="J24" s="3861">
        <f ca="1">ROUND(J37*M24,2)</f>
        <v>0</v>
      </c>
      <c r="K24" s="1776" t="s">
        <v>3823</v>
      </c>
      <c r="L24" s="186" t="s">
        <v>729</v>
      </c>
      <c r="M24" s="2767">
        <f ca="1">INDIRECT("'数据-取费表'!Al"&amp;$G$1)</f>
        <v>1E-3</v>
      </c>
    </row>
    <row r="25" spans="1:37" ht="18" customHeight="1">
      <c r="A25" s="209"/>
      <c r="B25" s="195"/>
      <c r="C25" s="3862"/>
      <c r="D25" s="3927"/>
      <c r="E25" s="3926" t="s">
        <v>3821</v>
      </c>
      <c r="F25" s="3413">
        <f ca="1">C53</f>
        <v>5232</v>
      </c>
      <c r="G25" s="935"/>
      <c r="H25" s="209"/>
      <c r="I25" s="195"/>
      <c r="J25" s="3862"/>
      <c r="K25" s="3927"/>
      <c r="L25" s="3926" t="s">
        <v>3821</v>
      </c>
      <c r="M25" s="3413">
        <f ca="1">J37</f>
        <v>0</v>
      </c>
    </row>
    <row r="26" spans="1:37" s="946" customFormat="1" ht="18" customHeight="1" thickBot="1">
      <c r="A26" s="726" t="s">
        <v>670</v>
      </c>
      <c r="B26" s="727" t="s">
        <v>713</v>
      </c>
      <c r="C26" s="2719">
        <f ca="1">ROUND(C5*F26,2)</f>
        <v>11.05</v>
      </c>
      <c r="D26" s="729" t="s">
        <v>3864</v>
      </c>
      <c r="E26" s="727" t="s">
        <v>729</v>
      </c>
      <c r="F26" s="2830">
        <f ca="1">INDIRECT("'数据-取费表'!Am"&amp;$G$1)</f>
        <v>0.01</v>
      </c>
      <c r="G26" s="945"/>
      <c r="H26" s="726" t="s">
        <v>670</v>
      </c>
      <c r="I26" s="727" t="s">
        <v>713</v>
      </c>
      <c r="J26" s="2719">
        <f ca="1">ROUND(J5*M26,2)</f>
        <v>0</v>
      </c>
      <c r="K26" s="729" t="s">
        <v>3866</v>
      </c>
      <c r="L26" s="727" t="s">
        <v>729</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3889</v>
      </c>
      <c r="C27" s="3854">
        <f ca="1">C5-C13</f>
        <v>905</v>
      </c>
      <c r="D27" s="4010" t="s">
        <v>3890</v>
      </c>
      <c r="E27" s="4011"/>
      <c r="F27" s="4012"/>
      <c r="G27" s="498"/>
      <c r="H27" s="716" t="s">
        <v>3301</v>
      </c>
      <c r="I27" s="731" t="s">
        <v>3889</v>
      </c>
      <c r="J27" s="3854">
        <f ca="1">J5-J13</f>
        <v>-102</v>
      </c>
      <c r="K27" s="4010" t="s">
        <v>3890</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29">
        <f ca="1">IF(C5&lt;&gt;0,ROUND(C27*(1-((1+F30)/(1+F28))^F29)/(F28-F30),0),0)</f>
        <v>11281</v>
      </c>
      <c r="D28" s="4014" t="s">
        <v>3892</v>
      </c>
      <c r="E28" s="2725" t="s">
        <v>3893</v>
      </c>
      <c r="F28" s="2767">
        <f ca="1">INDIRECT("'数据-取费表'!I"&amp;$G$1)</f>
        <v>5.5E-2</v>
      </c>
      <c r="G28" s="4002"/>
      <c r="H28" s="183" t="s">
        <v>3679</v>
      </c>
      <c r="I28" s="184" t="s">
        <v>3894</v>
      </c>
      <c r="J28" s="3929">
        <f ca="1">IF(J5&lt;&gt;0,ROUND(J27*(1-((1+M30)/(1+M28))^M29)/(M28-M30),0),0)</f>
        <v>0</v>
      </c>
      <c r="K28" s="4014" t="s">
        <v>3892</v>
      </c>
      <c r="L28" s="4015" t="s">
        <v>3893</v>
      </c>
      <c r="M28" s="2829">
        <f ca="1">INDIRECT("'数据-取费表'!I"&amp;$G$1)</f>
        <v>5.5E-2</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3895</v>
      </c>
      <c r="E29" s="2725" t="s">
        <v>3896</v>
      </c>
      <c r="F29" s="2768">
        <f ca="1">IF(INDIRECT("'数据-取费表'!af"&amp;$G$1)=0,INDIRECT("'数据-取费表'!ae"&amp;$G$1),INDIRECT("'数据-取费表'!af"&amp;$G$1))</f>
        <v>17.86</v>
      </c>
      <c r="G29" s="4002"/>
      <c r="H29" s="188"/>
      <c r="I29" s="189"/>
      <c r="J29" s="3930"/>
      <c r="K29" s="64" t="s">
        <v>3897</v>
      </c>
      <c r="L29" s="2725" t="s">
        <v>3896</v>
      </c>
      <c r="M29" s="2768">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3898</v>
      </c>
      <c r="F30" s="2767">
        <f ca="1">INDIRECT("'数据-取费表'!v"&amp;$G$1)</f>
        <v>1.4999999999999999E-2</v>
      </c>
      <c r="G30" s="4002"/>
      <c r="H30" s="192"/>
      <c r="I30" s="193"/>
      <c r="J30" s="3931"/>
      <c r="K30" s="64"/>
      <c r="L30" s="2725" t="s">
        <v>3898</v>
      </c>
      <c r="M30" s="2767">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f ca="1">ROUND(C28*(1+F31),0)</f>
        <v>12296</v>
      </c>
      <c r="D31" s="4017" t="s">
        <v>3683</v>
      </c>
      <c r="E31" s="4018" t="str">
        <f>IF(D31="其他类型公式—收益价值×（1+9%）","销项税率","征收率")</f>
        <v>销项税率</v>
      </c>
      <c r="F31" s="2767">
        <f>IF(D31="其他类型公式—收益价值×（1+9%）",9%,3%)</f>
        <v>0.09</v>
      </c>
      <c r="G31" s="498"/>
      <c r="H31" s="199" t="s">
        <v>3680</v>
      </c>
      <c r="I31" s="2725" t="s">
        <v>3900</v>
      </c>
      <c r="J31" s="2743">
        <f ca="1">ROUND(J28/(1+F28)^F29,0)</f>
        <v>0</v>
      </c>
      <c r="K31" s="3923" t="s">
        <v>3813</v>
      </c>
      <c r="L31" s="2725"/>
      <c r="M31" s="2768">
        <f ca="1">INDIRECT("'数据-取费表'!k"&amp;$G$1)</f>
        <v>12000.23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ROUND(C31*10000/F32,0)</f>
        <v>10246</v>
      </c>
      <c r="D32" s="4019" t="s">
        <v>3901</v>
      </c>
      <c r="E32" s="217" t="s">
        <v>3902</v>
      </c>
      <c r="F32" s="2769">
        <f ca="1">INDIRECT("'数据-取费表'!k"&amp;$G$1)</f>
        <v>12000.23</v>
      </c>
      <c r="G32" s="498"/>
      <c r="H32" s="3832" t="s">
        <v>3681</v>
      </c>
      <c r="I32" s="3833" t="s">
        <v>3903</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0.1809954751131222</v>
      </c>
      <c r="G33" s="935"/>
    </row>
    <row r="34" spans="1:37" s="118" customFormat="1" ht="18" customHeight="1">
      <c r="A34" s="3995" t="s">
        <v>3879</v>
      </c>
      <c r="B34" s="3996" t="s">
        <v>3880</v>
      </c>
      <c r="C34" s="3997" t="s">
        <v>3818</v>
      </c>
      <c r="D34" s="3996" t="s">
        <v>3881</v>
      </c>
      <c r="E34" s="3998" t="s">
        <v>3882</v>
      </c>
      <c r="F34" s="3999"/>
      <c r="G34" s="4002"/>
      <c r="H34" s="3995" t="s">
        <v>3879</v>
      </c>
      <c r="I34" s="3996" t="s">
        <v>3880</v>
      </c>
      <c r="J34" s="3997" t="s">
        <v>3818</v>
      </c>
      <c r="K34" s="3996" t="s">
        <v>3881</v>
      </c>
      <c r="L34" s="3998" t="s">
        <v>3882</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3408</v>
      </c>
      <c r="B35" s="2725" t="s">
        <v>3409</v>
      </c>
      <c r="C35" s="2743">
        <f ca="1">SUM(C36:C41)</f>
        <v>6010</v>
      </c>
      <c r="D35" s="3923" t="s">
        <v>3416</v>
      </c>
      <c r="E35" s="994"/>
      <c r="F35" s="3277"/>
      <c r="G35" s="935"/>
      <c r="H35" s="3924" t="s">
        <v>3408</v>
      </c>
      <c r="I35" s="3925" t="s">
        <v>3448</v>
      </c>
      <c r="J35" s="2702">
        <f ca="1">C51</f>
        <v>7474</v>
      </c>
      <c r="K35" s="2739" t="s">
        <v>3444</v>
      </c>
      <c r="L35" s="55"/>
      <c r="M35" s="2680"/>
    </row>
    <row r="36" spans="1:37" ht="18" customHeight="1">
      <c r="A36" s="2700" t="s">
        <v>3404</v>
      </c>
      <c r="B36" s="2665" t="s">
        <v>692</v>
      </c>
      <c r="C36" s="2610">
        <f ca="1">INDIRECT("'数据-取费表'!m"&amp;$G$1)+INDIRECT("'数据-取费表'!t"&amp;$G$1)</f>
        <v>5280</v>
      </c>
      <c r="D36" s="899" t="s">
        <v>693</v>
      </c>
      <c r="E36" s="899"/>
      <c r="F36" s="215"/>
      <c r="G36" s="935"/>
      <c r="H36" s="2747" t="s">
        <v>3449</v>
      </c>
      <c r="I36" s="2752" t="s">
        <v>3436</v>
      </c>
      <c r="J36" s="2650">
        <f ca="1">ROUND(J35*(1-M36),0)</f>
        <v>7474</v>
      </c>
      <c r="K36" s="186" t="s">
        <v>3439</v>
      </c>
      <c r="L36" s="2715" t="s">
        <v>3451</v>
      </c>
      <c r="M36" s="2767">
        <f ca="1">INDIRECT("'数据-取费表'!ad"&amp;$G$1)</f>
        <v>0</v>
      </c>
    </row>
    <row r="37" spans="1:37" ht="18" customHeight="1" thickBot="1">
      <c r="A37" s="2700" t="s">
        <v>3410</v>
      </c>
      <c r="B37" s="2717" t="s">
        <v>3865</v>
      </c>
      <c r="C37" s="2702">
        <f ca="1">ROUND(C36*F37,0)</f>
        <v>317</v>
      </c>
      <c r="D37" s="186" t="s">
        <v>696</v>
      </c>
      <c r="E37" s="186" t="s">
        <v>697</v>
      </c>
      <c r="F37" s="2765">
        <f>'数据-取费表'!B33</f>
        <v>0.06</v>
      </c>
      <c r="G37" s="935"/>
      <c r="H37" s="2748" t="s">
        <v>3450</v>
      </c>
      <c r="I37" s="3928" t="s">
        <v>3822</v>
      </c>
      <c r="J37" s="2754">
        <f ca="1">J35-J36</f>
        <v>0</v>
      </c>
      <c r="K37" s="2734" t="s">
        <v>3473</v>
      </c>
      <c r="L37" s="219"/>
      <c r="M37" s="2755"/>
    </row>
    <row r="38" spans="1:37" ht="18" customHeight="1">
      <c r="A38" s="2700" t="s">
        <v>3411</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3412</v>
      </c>
      <c r="B39" s="2665" t="s">
        <v>701</v>
      </c>
      <c r="C39" s="2702">
        <f ca="1">ROUND(F39*(F32+INDIRECT("'数据-取费表'!S"&amp;$G$1))/10000,0)</f>
        <v>360</v>
      </c>
      <c r="D39" s="186" t="s">
        <v>702</v>
      </c>
      <c r="E39" s="186" t="s">
        <v>3815</v>
      </c>
      <c r="F39" s="2766">
        <f>'数据-取费表'!B35</f>
        <v>300</v>
      </c>
      <c r="G39" s="935"/>
    </row>
    <row r="40" spans="1:37" ht="18" customHeight="1">
      <c r="A40" s="2700" t="s">
        <v>3413</v>
      </c>
      <c r="B40" s="2717" t="s">
        <v>3414</v>
      </c>
      <c r="C40" s="2702">
        <f ca="1">ROUND(C36*F40,0)</f>
        <v>53</v>
      </c>
      <c r="D40" s="186" t="s">
        <v>696</v>
      </c>
      <c r="E40" s="186" t="s">
        <v>697</v>
      </c>
      <c r="F40" s="2765">
        <f>'数据-取费表'!B36</f>
        <v>0.01</v>
      </c>
      <c r="G40" s="935"/>
      <c r="H40" s="47"/>
      <c r="I40" s="47"/>
      <c r="J40" s="47"/>
      <c r="K40" s="1861"/>
      <c r="L40" s="47"/>
      <c r="M40" s="47"/>
    </row>
    <row r="41" spans="1:37" ht="18" customHeight="1">
      <c r="A41" s="2700" t="s">
        <v>3413</v>
      </c>
      <c r="B41" s="2717" t="s">
        <v>3415</v>
      </c>
      <c r="C41" s="2702">
        <f ca="1">ROUND(C36*F41,0)</f>
        <v>0</v>
      </c>
      <c r="D41" s="186" t="s">
        <v>696</v>
      </c>
      <c r="E41" s="186" t="s">
        <v>697</v>
      </c>
      <c r="F41" s="2765">
        <f>'数据-取费表'!B37</f>
        <v>0</v>
      </c>
      <c r="G41" s="935"/>
      <c r="H41" s="47"/>
      <c r="I41" s="47"/>
      <c r="J41" s="47"/>
      <c r="K41" s="1861"/>
      <c r="L41" s="47"/>
      <c r="M41" s="47"/>
    </row>
    <row r="42" spans="1:37" ht="18" customHeight="1">
      <c r="A42" s="199" t="s">
        <v>3423</v>
      </c>
      <c r="B42" s="2725" t="s">
        <v>3424</v>
      </c>
      <c r="C42" s="2743">
        <f ca="1">ROUND(C35*F42,0)</f>
        <v>120</v>
      </c>
      <c r="D42" s="2726" t="s">
        <v>3425</v>
      </c>
      <c r="E42" s="2725" t="s">
        <v>3426</v>
      </c>
      <c r="F42" s="2767">
        <f>'数据-取费表'!B38</f>
        <v>0.02</v>
      </c>
      <c r="G42" s="935"/>
      <c r="H42" s="47"/>
      <c r="I42" s="47"/>
      <c r="J42" s="47"/>
      <c r="K42" s="1861"/>
      <c r="L42" s="47"/>
      <c r="M42" s="47"/>
    </row>
    <row r="43" spans="1:37" ht="18" customHeight="1">
      <c r="A43" s="199" t="s">
        <v>3427</v>
      </c>
      <c r="B43" s="2725" t="s">
        <v>3428</v>
      </c>
      <c r="C43" s="2790" t="str">
        <f>F43&amp;"V建"</f>
        <v>0.02V建</v>
      </c>
      <c r="D43" s="2726" t="s">
        <v>3816</v>
      </c>
      <c r="E43" s="2725" t="s">
        <v>3817</v>
      </c>
      <c r="F43" s="2767">
        <f>'数据-取费表'!B39</f>
        <v>0.02</v>
      </c>
      <c r="G43" s="935"/>
      <c r="H43" s="47"/>
      <c r="I43" s="47"/>
      <c r="J43" s="47"/>
      <c r="K43" s="1861"/>
      <c r="L43" s="47"/>
      <c r="M43" s="47"/>
    </row>
    <row r="44" spans="1:37" ht="18" customHeight="1">
      <c r="A44" s="199" t="s">
        <v>3431</v>
      </c>
      <c r="B44" s="2728" t="s">
        <v>3417</v>
      </c>
      <c r="C44" s="3416" t="str">
        <f ca="1">C45&amp;"+"&amp;C46&amp;"V建"</f>
        <v>246+0.0008V建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246</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730</v>
      </c>
      <c r="B46" s="186" t="s">
        <v>731</v>
      </c>
      <c r="C46" s="3414">
        <f ca="1">ROUND(IF('数据-取费表'!B22&lt;=1,F43*F46*F45/2,F43*(POWER((1+F46),F45/2)-1)),4)</f>
        <v>8.0000000000000004E-4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3432</v>
      </c>
      <c r="B47" s="2728" t="s">
        <v>3418</v>
      </c>
      <c r="C47" s="3416" t="str">
        <f ca="1">C48&amp;"+"&amp;C49&amp;"V建"</f>
        <v>920+0.003V建</v>
      </c>
      <c r="D47" s="2684" t="s">
        <v>3433</v>
      </c>
      <c r="E47" s="200"/>
      <c r="F47" s="2766"/>
      <c r="G47" s="935"/>
      <c r="H47" s="47"/>
      <c r="I47" s="47"/>
      <c r="J47" s="47"/>
      <c r="K47" s="1861"/>
      <c r="L47" s="47"/>
      <c r="M47" s="47"/>
    </row>
    <row r="48" spans="1:37" ht="18" customHeight="1">
      <c r="A48" s="2700" t="s">
        <v>391</v>
      </c>
      <c r="B48" s="186" t="s">
        <v>739</v>
      </c>
      <c r="C48" s="2702">
        <f ca="1">ROUND((C35+C42)*F48,0)</f>
        <v>920</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7">
        <f ca="1">ROUND(F43*F48,4)</f>
        <v>3.0000000000000001E-3</v>
      </c>
      <c r="D49" s="206" t="s">
        <v>746</v>
      </c>
      <c r="E49" s="186"/>
      <c r="F49" s="2765"/>
      <c r="G49" s="935"/>
      <c r="H49" s="47"/>
      <c r="I49" s="47"/>
      <c r="J49" s="47"/>
      <c r="K49" s="1861"/>
      <c r="L49" s="47"/>
      <c r="M49" s="47"/>
    </row>
    <row r="50" spans="1:18" ht="18" customHeight="1">
      <c r="A50" s="199" t="s">
        <v>3419</v>
      </c>
      <c r="B50" s="2725" t="s">
        <v>3420</v>
      </c>
      <c r="C50" s="2743">
        <f>ROUND(F50/(1+'数据-取费表'!C43),4)</f>
        <v>0</v>
      </c>
      <c r="D50" s="3982" t="s">
        <v>3871</v>
      </c>
      <c r="E50" s="2725"/>
      <c r="F50" s="2767"/>
      <c r="G50" s="935"/>
      <c r="H50" s="47"/>
      <c r="I50" s="47"/>
      <c r="J50" s="47"/>
      <c r="K50" s="1861"/>
      <c r="L50" s="47"/>
      <c r="M50" s="47"/>
    </row>
    <row r="51" spans="1:18" s="935" customFormat="1" ht="18" customHeight="1">
      <c r="A51" s="199" t="s">
        <v>3421</v>
      </c>
      <c r="B51" s="2725" t="s">
        <v>3422</v>
      </c>
      <c r="C51" s="2743">
        <f ca="1">ROUND((C35+C42+C45+C48)/(1-F43-C46-C49-C50),0)</f>
        <v>7474</v>
      </c>
      <c r="D51" s="2739" t="s">
        <v>3444</v>
      </c>
      <c r="E51" s="2725"/>
      <c r="F51" s="2767"/>
      <c r="K51" s="951"/>
    </row>
    <row r="52" spans="1:18" s="935" customFormat="1" ht="18" customHeight="1">
      <c r="A52" s="2729" t="s">
        <v>3435</v>
      </c>
      <c r="B52" s="2728" t="s">
        <v>3436</v>
      </c>
      <c r="C52" s="2743">
        <f ca="1">ROUND(C51*(1-F52),0)</f>
        <v>2242</v>
      </c>
      <c r="D52" s="2725" t="s">
        <v>3883</v>
      </c>
      <c r="E52" s="2725" t="s">
        <v>3884</v>
      </c>
      <c r="F52" s="2767">
        <f ca="1">INDIRECT("'数据-取费表'!y"&amp;$G$1)</f>
        <v>0.7</v>
      </c>
      <c r="K52" s="951"/>
    </row>
    <row r="53" spans="1:18" s="935" customFormat="1" ht="18" customHeight="1" thickBot="1">
      <c r="A53" s="2730" t="s">
        <v>3437</v>
      </c>
      <c r="B53" s="2738" t="s">
        <v>3442</v>
      </c>
      <c r="C53" s="2754">
        <f ca="1">C51-C52</f>
        <v>5232</v>
      </c>
      <c r="D53" s="2734" t="s">
        <v>3473</v>
      </c>
      <c r="E53" s="217"/>
      <c r="F53" s="2735"/>
      <c r="K53" s="951"/>
    </row>
    <row r="54" spans="1:18" s="935" customFormat="1" ht="18" customHeight="1" thickBot="1">
      <c r="A54" s="949"/>
      <c r="B54" s="949"/>
      <c r="C54" s="950"/>
      <c r="D54" s="949"/>
      <c r="E54" s="949"/>
      <c r="F54" s="949"/>
      <c r="I54" s="2756" t="s">
        <v>3452</v>
      </c>
      <c r="J54" s="494"/>
      <c r="O54" s="1965" t="s">
        <v>793</v>
      </c>
      <c r="P54" s="1008"/>
      <c r="Q54" s="1008"/>
      <c r="R54" s="1008"/>
    </row>
    <row r="55" spans="1:18" s="935" customFormat="1" ht="14" thickBot="1">
      <c r="A55" s="953" t="s">
        <v>794</v>
      </c>
      <c r="C55" s="3879">
        <f ca="1">IF(D2="含税",C83-C31,C80-C28)</f>
        <v>-12845</v>
      </c>
      <c r="D55" s="955" t="str">
        <f>C2</f>
        <v>万元</v>
      </c>
      <c r="E55" s="949"/>
      <c r="F55" s="949"/>
      <c r="I55" s="956" t="s">
        <v>795</v>
      </c>
      <c r="J55" s="957"/>
      <c r="K55" s="958"/>
      <c r="L55" s="3898">
        <f ca="1">IF(M56="住宅",0,IF(L57&gt;J60,L69,J69))</f>
        <v>822</v>
      </c>
      <c r="O55" s="4036" t="s">
        <v>1325</v>
      </c>
      <c r="P55" s="4037" t="s">
        <v>3908</v>
      </c>
      <c r="Q55" s="4038" t="s">
        <v>3909</v>
      </c>
      <c r="R55" s="4038" t="s">
        <v>3910</v>
      </c>
    </row>
    <row r="56" spans="1:18" s="935" customFormat="1" ht="13.5" thickBot="1">
      <c r="A56" s="4023" t="s">
        <v>3879</v>
      </c>
      <c r="B56" s="4024" t="s">
        <v>3880</v>
      </c>
      <c r="C56" s="3997" t="s">
        <v>3818</v>
      </c>
      <c r="D56" s="4024" t="s">
        <v>3881</v>
      </c>
      <c r="E56" s="4025" t="s">
        <v>3882</v>
      </c>
      <c r="F56" s="701"/>
      <c r="G56" s="490"/>
      <c r="I56" s="963" t="s">
        <v>800</v>
      </c>
      <c r="J56" s="964" t="s">
        <v>4132</v>
      </c>
      <c r="K56" s="965" t="s">
        <v>801</v>
      </c>
      <c r="L56" s="3899">
        <f ca="1">INDIRECT("'数据-取费表'!d"&amp;$G$1)</f>
        <v>50</v>
      </c>
      <c r="M56" s="931" t="str">
        <f>IF(ISNUMBER(FIND("住宅",C1)),"住宅","非住宅")</f>
        <v>非住宅</v>
      </c>
      <c r="O56" s="4039" t="s">
        <v>397</v>
      </c>
      <c r="P56" s="4040" t="s">
        <v>3911</v>
      </c>
      <c r="Q56" s="4042">
        <f ca="1">C28+J31</f>
        <v>11281</v>
      </c>
      <c r="R56" s="4041" t="s">
        <v>3912</v>
      </c>
    </row>
    <row r="57" spans="1:18" s="935" customFormat="1" ht="42.5" thickBot="1">
      <c r="A57" s="653" t="s">
        <v>432</v>
      </c>
      <c r="B57" s="184" t="s">
        <v>3904</v>
      </c>
      <c r="C57" s="4026">
        <f ca="1">ROUND(C58+C62+C64,0)</f>
        <v>0</v>
      </c>
      <c r="D57" s="4003" t="s">
        <v>3905</v>
      </c>
      <c r="E57" s="4027"/>
      <c r="F57" s="638"/>
      <c r="G57" s="490"/>
      <c r="H57" s="491"/>
      <c r="I57" s="970" t="s">
        <v>804</v>
      </c>
      <c r="J57" s="971" t="s">
        <v>4133</v>
      </c>
      <c r="K57" s="972" t="s">
        <v>805</v>
      </c>
      <c r="L57" s="3888">
        <f ca="1">INDIRECT("'数据-取费表'!f"&amp;$G$1)</f>
        <v>17.86</v>
      </c>
      <c r="O57" s="4039" t="s">
        <v>398</v>
      </c>
      <c r="P57" s="4040" t="s">
        <v>3913</v>
      </c>
      <c r="Q57" s="4042">
        <f ca="1">J69</f>
        <v>822</v>
      </c>
      <c r="R57" s="4041" t="s">
        <v>3914</v>
      </c>
    </row>
    <row r="58" spans="1:18" s="935" customFormat="1" ht="15.5" thickBot="1">
      <c r="A58" s="3865" t="s">
        <v>3805</v>
      </c>
      <c r="B58" s="2714" t="s">
        <v>3796</v>
      </c>
      <c r="C58" s="3857">
        <f ca="1">C59-C61</f>
        <v>0</v>
      </c>
      <c r="D58" s="2715" t="s">
        <v>3800</v>
      </c>
      <c r="E58" s="2737" t="s">
        <v>3441</v>
      </c>
      <c r="F58" s="3418"/>
      <c r="H58" s="491"/>
      <c r="I58" s="970" t="s">
        <v>808</v>
      </c>
      <c r="J58" s="3886">
        <f>'数据-取费表'!N18</f>
        <v>1995</v>
      </c>
      <c r="K58" s="972" t="s">
        <v>809</v>
      </c>
      <c r="L58" s="3900"/>
      <c r="O58" s="976" t="s">
        <v>399</v>
      </c>
      <c r="P58" s="968" t="s">
        <v>810</v>
      </c>
      <c r="Q58" s="3433">
        <f ca="1">C51</f>
        <v>7474</v>
      </c>
      <c r="R58" s="969" t="s">
        <v>803</v>
      </c>
    </row>
    <row r="59" spans="1:18" s="935" customFormat="1" ht="13.5" thickBot="1">
      <c r="A59" s="3872" t="s">
        <v>3404</v>
      </c>
      <c r="B59" s="4635" t="s">
        <v>3794</v>
      </c>
      <c r="C59" s="4636">
        <f ca="1">ROUND(F58*F60*F59/10000,2)</f>
        <v>0</v>
      </c>
      <c r="D59" s="4509" t="s">
        <v>3472</v>
      </c>
      <c r="E59" s="698" t="s">
        <v>682</v>
      </c>
      <c r="F59" s="2760">
        <f ca="1">F7</f>
        <v>12000.23</v>
      </c>
      <c r="H59" s="491"/>
      <c r="I59" s="970" t="s">
        <v>811</v>
      </c>
      <c r="J59" s="3887">
        <f>SUMPRODUCT((I72:I74=J56)*(J71:L71=J57)*(J72:L74))</f>
        <v>60</v>
      </c>
      <c r="K59" s="972" t="s">
        <v>812</v>
      </c>
      <c r="L59" s="3900"/>
      <c r="M59" s="978"/>
      <c r="O59" s="976" t="s">
        <v>400</v>
      </c>
      <c r="P59" s="968" t="s">
        <v>813</v>
      </c>
      <c r="Q59" s="3430">
        <f ca="1">J67</f>
        <v>0.4</v>
      </c>
      <c r="R59" s="969"/>
    </row>
    <row r="60" spans="1:18" s="935" customFormat="1" ht="13.5" thickBot="1">
      <c r="A60" s="3873"/>
      <c r="B60" s="4635"/>
      <c r="C60" s="4637"/>
      <c r="D60" s="4509"/>
      <c r="E60" s="657" t="str">
        <f ca="1">IF(F60=1,"年",IF(F60=12,"月","天"))</f>
        <v>天</v>
      </c>
      <c r="F60" s="3413">
        <f ca="1">F8</f>
        <v>365</v>
      </c>
      <c r="I60" s="980" t="s">
        <v>814</v>
      </c>
      <c r="J60" s="3888">
        <f>IF(J58="",J59,J58+J59-YEAR('数据-取费表'!B2))</f>
        <v>29</v>
      </c>
      <c r="K60" s="981" t="s">
        <v>815</v>
      </c>
      <c r="L60" s="3877">
        <f ca="1">ROUND(-PV(INDIRECT("'数据-取费表'!h"&amp;$G$1),J60,(C27-C52*C88),0),0)</f>
        <v>11326</v>
      </c>
      <c r="M60" s="983"/>
      <c r="O60" s="976" t="s">
        <v>401</v>
      </c>
      <c r="P60" s="968" t="s">
        <v>816</v>
      </c>
      <c r="Q60" s="3430">
        <f>J61</f>
        <v>7.4999999999999997E-2</v>
      </c>
      <c r="R60" s="969"/>
    </row>
    <row r="61" spans="1:18" s="935" customFormat="1" ht="13.5" thickBot="1">
      <c r="A61" s="3874" t="s">
        <v>3402</v>
      </c>
      <c r="B61" s="3573" t="s">
        <v>3795</v>
      </c>
      <c r="C61" s="3858">
        <f ca="1">ROUND(C59*F61,2)</f>
        <v>0</v>
      </c>
      <c r="D61" s="2715" t="s">
        <v>3799</v>
      </c>
      <c r="E61" s="657" t="s">
        <v>684</v>
      </c>
      <c r="F61" s="2762"/>
      <c r="I61" s="984" t="s">
        <v>817</v>
      </c>
      <c r="J61" s="3889">
        <v>7.4999999999999997E-2</v>
      </c>
      <c r="K61" s="984" t="s">
        <v>818</v>
      </c>
      <c r="L61" s="3889"/>
      <c r="O61" s="976" t="s">
        <v>402</v>
      </c>
      <c r="P61" s="968" t="s">
        <v>819</v>
      </c>
      <c r="Q61" s="3429">
        <f ca="1">J62</f>
        <v>17.86</v>
      </c>
      <c r="R61" s="969" t="s">
        <v>820</v>
      </c>
    </row>
    <row r="62" spans="1:18" s="935" customFormat="1" ht="27" thickBot="1">
      <c r="A62" s="3875" t="s">
        <v>3449</v>
      </c>
      <c r="B62" s="924" t="s">
        <v>685</v>
      </c>
      <c r="C62" s="4088">
        <f ca="1">ROUND(IF(F62="押一",C58/12*F11,IF(F62="押二",C58/12*2*F11,IF(F62="押三",C58/12*3*F11,C63*F11))),2)</f>
        <v>0</v>
      </c>
      <c r="D62" s="59" t="s">
        <v>2020</v>
      </c>
      <c r="E62" s="197" t="s">
        <v>686</v>
      </c>
      <c r="F62" s="3419"/>
      <c r="I62" s="986" t="s">
        <v>821</v>
      </c>
      <c r="J62" s="3890">
        <f ca="1">IF(M56="住宅",IF(D1="——",MAX(J60,L57),MAX(J60,L57-'数据-取费表'!B24)),IF(D1="——",MIN(J60,L57),MIN(J60,L57-'数据-取费表'!B24)))</f>
        <v>17.86</v>
      </c>
      <c r="K62" s="4506" t="s">
        <v>822</v>
      </c>
      <c r="L62" s="4507"/>
      <c r="O62" s="4039" t="s">
        <v>403</v>
      </c>
      <c r="P62" s="4043" t="s">
        <v>3918</v>
      </c>
      <c r="Q62" s="4042">
        <f ca="1">ROUND((Q56+Q57)*(1+F31),0)</f>
        <v>13192</v>
      </c>
      <c r="R62" s="4041" t="s">
        <v>3919</v>
      </c>
    </row>
    <row r="63" spans="1:18" s="935" customFormat="1" ht="13.5" thickBot="1">
      <c r="A63" s="3866"/>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1"/>
      <c r="K63" s="989"/>
      <c r="L63" s="989"/>
      <c r="O63" s="952" t="s">
        <v>824</v>
      </c>
      <c r="P63" s="932"/>
      <c r="Q63" s="932"/>
      <c r="R63" s="932"/>
    </row>
    <row r="64" spans="1:18" s="935" customFormat="1" ht="13.5" thickBot="1">
      <c r="A64" s="3867" t="s">
        <v>3806</v>
      </c>
      <c r="B64" s="920" t="s">
        <v>688</v>
      </c>
      <c r="C64" s="3855"/>
      <c r="D64" s="59"/>
      <c r="E64" s="925"/>
      <c r="F64" s="987"/>
      <c r="I64" s="990" t="s">
        <v>825</v>
      </c>
      <c r="J64" s="3892">
        <f ca="1">ROUND(IF(J56="钢混",J66/J59,1-(1-2%)*(J59-J66)/J59),3)</f>
        <v>0.186</v>
      </c>
      <c r="K64" s="992" t="s">
        <v>826</v>
      </c>
      <c r="L64" s="993"/>
      <c r="O64" s="4036" t="s">
        <v>1325</v>
      </c>
      <c r="P64" s="4037" t="s">
        <v>3908</v>
      </c>
      <c r="Q64" s="4038" t="s">
        <v>3909</v>
      </c>
      <c r="R64" s="4038" t="s">
        <v>3910</v>
      </c>
    </row>
    <row r="65" spans="1:18" s="935" customFormat="1" ht="40" thickTop="1" thickBot="1">
      <c r="A65" s="199" t="s">
        <v>3677</v>
      </c>
      <c r="B65" s="634" t="s">
        <v>3886</v>
      </c>
      <c r="C65" s="2743">
        <f ca="1">ROUND(C66+C74+C76+C78,0)</f>
        <v>45</v>
      </c>
      <c r="D65" s="634" t="s">
        <v>3906</v>
      </c>
      <c r="E65" s="637"/>
      <c r="F65" s="638"/>
      <c r="I65" s="996" t="s">
        <v>827</v>
      </c>
      <c r="J65" s="3893" t="s">
        <v>4100</v>
      </c>
      <c r="K65" s="970" t="s">
        <v>828</v>
      </c>
      <c r="L65" s="3888" t="str">
        <f ca="1">IF(L57&lt;J60,"——",L57-J62)</f>
        <v>——</v>
      </c>
      <c r="O65" s="4039" t="s">
        <v>397</v>
      </c>
      <c r="P65" s="4040" t="s">
        <v>3911</v>
      </c>
      <c r="Q65" s="4042">
        <f ca="1">C28+J31</f>
        <v>11281</v>
      </c>
      <c r="R65" s="4041" t="s">
        <v>3912</v>
      </c>
    </row>
    <row r="66" spans="1:18" s="935" customFormat="1" ht="26.5" thickBot="1">
      <c r="A66" s="519" t="s">
        <v>392</v>
      </c>
      <c r="B66" s="2695" t="s">
        <v>3970</v>
      </c>
      <c r="C66" s="4088">
        <f ca="1">ROUND(IF(AND(项目基本情况!B11="自然人",项目基本情况!B10="北京市",M56="住宅"),C58*F66,C67+C71+C72),2)</f>
        <v>2.12</v>
      </c>
      <c r="D66" s="639" t="s">
        <v>3446</v>
      </c>
      <c r="E66" s="639" t="str">
        <f>E14</f>
        <v/>
      </c>
      <c r="F66" s="3838" t="str">
        <f>IF(M56="非住宅","",IF(F58*F59*F60/12/(1+'数据-取费表'!F30)&gt;100000,4%,2.5%))</f>
        <v/>
      </c>
      <c r="I66" s="1002" t="s">
        <v>829</v>
      </c>
      <c r="J66" s="3894">
        <f ca="1">IF(OR(M56="住宅",J60&lt;L57,J65="是"),"——",J60-L57)</f>
        <v>11.14</v>
      </c>
      <c r="K66" s="970" t="s">
        <v>830</v>
      </c>
      <c r="L66" s="3901" t="str">
        <f ca="1">IF(L57&lt;J60,"——",IF(L64="比较法",L58,IF(L64="基准地价",L59,L60)))</f>
        <v>——</v>
      </c>
      <c r="O66" s="4039" t="s">
        <v>398</v>
      </c>
      <c r="P66" s="4040" t="s">
        <v>3915</v>
      </c>
      <c r="Q66" s="4044">
        <f ca="1">L69</f>
        <v>0</v>
      </c>
      <c r="R66" s="4041" t="s">
        <v>3916</v>
      </c>
    </row>
    <row r="67" spans="1:18" s="935" customFormat="1" ht="26.5" thickBot="1">
      <c r="A67" s="4092" t="s">
        <v>391</v>
      </c>
      <c r="B67" s="2713" t="s">
        <v>3966</v>
      </c>
      <c r="C67" s="4088">
        <f ca="1">C70</f>
        <v>-0.44</v>
      </c>
      <c r="D67" s="2430" t="s">
        <v>3965</v>
      </c>
      <c r="E67" s="4091"/>
      <c r="F67" s="4124"/>
      <c r="I67" s="1002" t="s">
        <v>832</v>
      </c>
      <c r="J67" s="3895">
        <f ca="1">IF(J64&lt;0.4,0.4,J64)</f>
        <v>0.4</v>
      </c>
      <c r="K67" s="981" t="s">
        <v>833</v>
      </c>
      <c r="L67" s="3901" t="e">
        <f ca="1">ROUND(POWER(1+L61,L56-L57)*(POWER(1+L61,L57)-1)/(POWER(1+L61,L56)-1),4)</f>
        <v>#DIV/0!</v>
      </c>
      <c r="O67" s="976" t="s">
        <v>399</v>
      </c>
      <c r="P67" s="968" t="s">
        <v>834</v>
      </c>
      <c r="Q67" s="3429">
        <f>IF(L64="比较法",L58,IF(L64="基准地价",L59,0))</f>
        <v>0</v>
      </c>
      <c r="R67" s="969" t="s">
        <v>803</v>
      </c>
    </row>
    <row r="68" spans="1:18" s="935" customFormat="1" ht="26.5" thickBot="1">
      <c r="A68" s="2505" t="s">
        <v>3289</v>
      </c>
      <c r="B68" s="2717" t="s">
        <v>3405</v>
      </c>
      <c r="C68" s="4088">
        <f ca="1">ROUND(C58*F68,2)</f>
        <v>0</v>
      </c>
      <c r="D68" s="994" t="s">
        <v>3869</v>
      </c>
      <c r="E68" s="2721" t="s">
        <v>3407</v>
      </c>
      <c r="F68" s="2765">
        <f>F16</f>
        <v>0.09</v>
      </c>
      <c r="I68" s="1002" t="s">
        <v>835</v>
      </c>
      <c r="J68" s="3896">
        <f ca="1">IF(OR(M56="住宅",J60&lt;L57,J65="是"),"——",ROUND(C51*J67,0))</f>
        <v>2990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 thickBot="1">
      <c r="A69" s="2505" t="s">
        <v>3290</v>
      </c>
      <c r="B69" s="2717" t="s">
        <v>3406</v>
      </c>
      <c r="C69" s="4088">
        <f ca="1">ROUND(C74*F68+((C76+C78)*F69),2)</f>
        <v>3.68</v>
      </c>
      <c r="D69" s="3979" t="s">
        <v>3870</v>
      </c>
      <c r="E69" s="2722"/>
      <c r="F69" s="2765">
        <f t="shared" ref="F69" si="0">F17</f>
        <v>0.06</v>
      </c>
      <c r="I69" s="1005" t="s">
        <v>837</v>
      </c>
      <c r="J69" s="3897">
        <f ca="1">IF(OR(M56="住宅",J60&lt;L57,J65="是"),"0",ROUND(J68/(1+J61)^J62,0))</f>
        <v>822</v>
      </c>
      <c r="K69" s="1007" t="s">
        <v>838</v>
      </c>
      <c r="L69" s="3897">
        <f ca="1">IF(OR(M56="住宅",L57&lt;J60),0,ROUND(L66*(L67/L68-1),0))</f>
        <v>0</v>
      </c>
      <c r="O69" s="976" t="s">
        <v>401</v>
      </c>
      <c r="P69" s="968" t="s">
        <v>839</v>
      </c>
      <c r="Q69" s="3432" t="e">
        <f ca="1">L67</f>
        <v>#DIV/0!</v>
      </c>
      <c r="R69" s="969" t="s">
        <v>840</v>
      </c>
    </row>
    <row r="70" spans="1:18" s="935" customFormat="1" ht="13.5" thickBot="1">
      <c r="A70" s="2505" t="s">
        <v>3963</v>
      </c>
      <c r="B70" s="2717" t="s">
        <v>3962</v>
      </c>
      <c r="C70" s="4088">
        <f ca="1">ROUND((C68-C69)*F70,2)</f>
        <v>-0.44</v>
      </c>
      <c r="D70" s="2740" t="s">
        <v>3985</v>
      </c>
      <c r="E70" s="186" t="s">
        <v>3986</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7" thickBot="1">
      <c r="A71" s="3868" t="s">
        <v>766</v>
      </c>
      <c r="B71" s="2695" t="s">
        <v>3973</v>
      </c>
      <c r="C71" s="4088">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9" t="s">
        <v>403</v>
      </c>
      <c r="P71" s="4043" t="s">
        <v>3918</v>
      </c>
      <c r="Q71" s="4044">
        <f ca="1">ROUND((Q65+Q66)*(1+F31),0)</f>
        <v>12296</v>
      </c>
      <c r="R71" s="4041" t="s">
        <v>3919</v>
      </c>
    </row>
    <row r="72" spans="1:18" s="935" customFormat="1" ht="13.5" thickBot="1">
      <c r="A72" s="4092" t="s">
        <v>769</v>
      </c>
      <c r="B72" s="4084" t="s">
        <v>3968</v>
      </c>
      <c r="C72" s="4089">
        <f ca="1">IF(项目基本情况!B11="自然人","——",ROUND(F72*F73/10000,2))</f>
        <v>2.56</v>
      </c>
      <c r="D72" s="641" t="s">
        <v>771</v>
      </c>
      <c r="E72" s="626" t="s">
        <v>772</v>
      </c>
      <c r="F72" s="3420">
        <f t="shared" si="1"/>
        <v>24</v>
      </c>
      <c r="I72" s="1009" t="s">
        <v>848</v>
      </c>
      <c r="J72" s="223">
        <v>70</v>
      </c>
      <c r="K72" s="223">
        <v>50</v>
      </c>
      <c r="L72" s="223">
        <v>80</v>
      </c>
      <c r="M72" s="1012">
        <v>0.02</v>
      </c>
      <c r="O72" s="952" t="s">
        <v>849</v>
      </c>
      <c r="P72" s="932"/>
      <c r="Q72" s="932"/>
      <c r="R72" s="932"/>
    </row>
    <row r="73" spans="1:18" s="935" customFormat="1" ht="13.5" thickBot="1">
      <c r="A73" s="209"/>
      <c r="B73" s="3859"/>
      <c r="C73" s="4090"/>
      <c r="D73" s="642"/>
      <c r="E73" s="626" t="s">
        <v>773</v>
      </c>
      <c r="F73" s="3028">
        <f t="shared" ca="1" si="1"/>
        <v>1066.21</v>
      </c>
      <c r="I73" s="1009" t="s">
        <v>850</v>
      </c>
      <c r="J73" s="223">
        <v>50</v>
      </c>
      <c r="K73" s="223">
        <v>35</v>
      </c>
      <c r="L73" s="223">
        <v>60</v>
      </c>
      <c r="M73" s="1011">
        <v>0</v>
      </c>
      <c r="O73" s="960" t="s">
        <v>796</v>
      </c>
      <c r="P73" s="961" t="s">
        <v>797</v>
      </c>
      <c r="Q73" s="962" t="s">
        <v>798</v>
      </c>
      <c r="R73" s="962" t="s">
        <v>799</v>
      </c>
    </row>
    <row r="74" spans="1:18" s="935" customFormat="1" ht="13.5" thickBot="1">
      <c r="A74" s="3869" t="s">
        <v>774</v>
      </c>
      <c r="B74" s="625" t="s">
        <v>775</v>
      </c>
      <c r="C74" s="3861">
        <f ca="1">ROUND(F74*F75,2)</f>
        <v>37.369999999999997</v>
      </c>
      <c r="D74" s="3863" t="s">
        <v>3440</v>
      </c>
      <c r="E74" s="3876" t="s">
        <v>3801</v>
      </c>
      <c r="F74" s="3877">
        <f ca="1">C51</f>
        <v>7474</v>
      </c>
      <c r="I74" s="1009" t="s">
        <v>851</v>
      </c>
      <c r="J74" s="223">
        <v>40</v>
      </c>
      <c r="K74" s="223">
        <v>30</v>
      </c>
      <c r="L74" s="223">
        <v>50</v>
      </c>
      <c r="M74" s="1012">
        <v>0.02</v>
      </c>
      <c r="O74" s="4039" t="s">
        <v>397</v>
      </c>
      <c r="P74" s="4040" t="s">
        <v>3911</v>
      </c>
      <c r="Q74" s="4042">
        <f ca="1">C28+J31</f>
        <v>11281</v>
      </c>
      <c r="R74" s="4041" t="s">
        <v>3912</v>
      </c>
    </row>
    <row r="75" spans="1:18" s="935" customFormat="1" ht="15.5" thickBot="1">
      <c r="A75" s="3870"/>
      <c r="B75" s="632"/>
      <c r="C75" s="3862"/>
      <c r="D75" s="3864"/>
      <c r="E75" s="626" t="s">
        <v>768</v>
      </c>
      <c r="F75" s="2767">
        <f ca="1">F22</f>
        <v>5.0000000000000001E-3</v>
      </c>
      <c r="O75" s="4039" t="s">
        <v>398</v>
      </c>
      <c r="P75" s="4040" t="s">
        <v>3915</v>
      </c>
      <c r="Q75" s="4044">
        <f ca="1">L69</f>
        <v>0</v>
      </c>
      <c r="R75" s="4041" t="s">
        <v>3917</v>
      </c>
    </row>
    <row r="76" spans="1:18" s="935" customFormat="1" ht="13.5" thickBot="1">
      <c r="A76" s="3869" t="s">
        <v>777</v>
      </c>
      <c r="B76" s="625" t="s">
        <v>727</v>
      </c>
      <c r="C76" s="3861">
        <f ca="1">ROUND(F76*F77,2)</f>
        <v>5.23</v>
      </c>
      <c r="D76" s="3863" t="s">
        <v>3443</v>
      </c>
      <c r="E76" s="3876" t="s">
        <v>3802</v>
      </c>
      <c r="F76" s="3878">
        <f ca="1">C53</f>
        <v>5232</v>
      </c>
      <c r="O76" s="967"/>
      <c r="P76" s="968"/>
      <c r="Q76" s="3429"/>
      <c r="R76" s="969"/>
    </row>
    <row r="77" spans="1:18" s="935" customFormat="1" ht="16.5" thickBot="1">
      <c r="A77" s="3871"/>
      <c r="B77" s="632"/>
      <c r="C77" s="3862"/>
      <c r="D77" s="3864"/>
      <c r="E77" s="626" t="s">
        <v>729</v>
      </c>
      <c r="F77" s="2767">
        <f ca="1">F24</f>
        <v>1E-3</v>
      </c>
      <c r="O77" s="976" t="s">
        <v>399</v>
      </c>
      <c r="P77" s="968" t="s">
        <v>834</v>
      </c>
      <c r="Q77" s="3433">
        <f ca="1">L60</f>
        <v>11326</v>
      </c>
      <c r="R77" s="969" t="s">
        <v>854</v>
      </c>
    </row>
    <row r="78" spans="1:18" s="935" customFormat="1" ht="13.5" thickBot="1">
      <c r="A78" s="3871" t="s">
        <v>778</v>
      </c>
      <c r="B78" s="626" t="s">
        <v>713</v>
      </c>
      <c r="C78" s="4088">
        <f ca="1">ROUND(C57*F78,2)</f>
        <v>0</v>
      </c>
      <c r="D78" s="640" t="s">
        <v>3867</v>
      </c>
      <c r="E78" s="626" t="s">
        <v>697</v>
      </c>
      <c r="F78" s="2767">
        <f ca="1">F26</f>
        <v>0.01</v>
      </c>
      <c r="O78" s="976"/>
      <c r="P78" s="968"/>
      <c r="Q78" s="3433"/>
      <c r="R78" s="969"/>
    </row>
    <row r="79" spans="1:18" s="935" customFormat="1" ht="26.5" thickBot="1">
      <c r="A79" s="633" t="s">
        <v>3803</v>
      </c>
      <c r="B79" s="643" t="s">
        <v>737</v>
      </c>
      <c r="C79" s="2743">
        <f ca="1">C57-C65</f>
        <v>-45</v>
      </c>
      <c r="D79" s="643" t="s">
        <v>3907</v>
      </c>
      <c r="E79" s="4028"/>
      <c r="F79" s="4029"/>
      <c r="O79" s="976" t="s">
        <v>400</v>
      </c>
      <c r="P79" s="1014" t="s">
        <v>855</v>
      </c>
      <c r="Q79" s="3433">
        <f ca="1">ROUND(Q80-Q81*Q82,0)</f>
        <v>748</v>
      </c>
      <c r="R79" s="969" t="s">
        <v>408</v>
      </c>
    </row>
    <row r="80" spans="1:18" s="935" customFormat="1" ht="14" thickBot="1">
      <c r="A80" s="3201" t="s">
        <v>3804</v>
      </c>
      <c r="B80" s="624" t="s">
        <v>759</v>
      </c>
      <c r="C80" s="3913">
        <f ca="1">ROUND(C79*(1-((1+F82)/(1+F80))^F81)/(F80-F82),0)</f>
        <v>-504</v>
      </c>
      <c r="D80" s="4030" t="s">
        <v>3892</v>
      </c>
      <c r="E80" s="634" t="s">
        <v>3893</v>
      </c>
      <c r="F80" s="2767">
        <f ca="1">F28</f>
        <v>5.5E-2</v>
      </c>
      <c r="O80" s="976" t="s">
        <v>405</v>
      </c>
      <c r="P80" s="1014" t="s">
        <v>856</v>
      </c>
      <c r="Q80" s="3433">
        <f ca="1">C27</f>
        <v>905</v>
      </c>
      <c r="R80" s="969" t="s">
        <v>803</v>
      </c>
    </row>
    <row r="81" spans="1:18" s="935" customFormat="1" ht="14" thickBot="1">
      <c r="A81" s="3202"/>
      <c r="B81" s="628"/>
      <c r="C81" s="4094"/>
      <c r="D81" s="4031" t="s">
        <v>3897</v>
      </c>
      <c r="E81" s="634" t="s">
        <v>3896</v>
      </c>
      <c r="F81" s="2768">
        <f ca="1">F29</f>
        <v>17.86</v>
      </c>
      <c r="O81" s="976" t="s">
        <v>406</v>
      </c>
      <c r="P81" s="1014" t="s">
        <v>857</v>
      </c>
      <c r="Q81" s="3433">
        <f ca="1">C52</f>
        <v>2242</v>
      </c>
      <c r="R81" s="969" t="s">
        <v>803</v>
      </c>
    </row>
    <row r="82" spans="1:18" s="935" customFormat="1" ht="13.5" thickBot="1">
      <c r="A82" s="3203"/>
      <c r="B82" s="2783"/>
      <c r="C82" s="2783"/>
      <c r="D82" s="4032"/>
      <c r="E82" s="634" t="s">
        <v>3898</v>
      </c>
      <c r="F82" s="2762"/>
      <c r="O82" s="976" t="s">
        <v>407</v>
      </c>
      <c r="P82" s="1014" t="s">
        <v>858</v>
      </c>
      <c r="Q82" s="3430">
        <f ca="1">C88</f>
        <v>7.0000000000000007E-2</v>
      </c>
      <c r="R82" s="969"/>
    </row>
    <row r="83" spans="1:18" s="935" customFormat="1" ht="13.5" thickBot="1">
      <c r="A83" s="630" t="s">
        <v>3807</v>
      </c>
      <c r="B83" s="2742" t="s">
        <v>3447</v>
      </c>
      <c r="C83" s="3854">
        <f ca="1">ROUND(C80*(1+F31),0)</f>
        <v>-549</v>
      </c>
      <c r="D83" s="4033" t="str">
        <f>D31</f>
        <v>其他类型公式—收益价值×（1+9%）</v>
      </c>
      <c r="E83" s="1018"/>
      <c r="F83" s="4034"/>
      <c r="O83" s="976" t="s">
        <v>401</v>
      </c>
      <c r="P83" s="968" t="s">
        <v>836</v>
      </c>
      <c r="Q83" s="3430">
        <f>L61</f>
        <v>0</v>
      </c>
      <c r="R83" s="969"/>
    </row>
    <row r="84" spans="1:18" ht="16" thickBot="1">
      <c r="A84" s="647" t="s">
        <v>390</v>
      </c>
      <c r="B84" s="648" t="s">
        <v>761</v>
      </c>
      <c r="C84" s="2754">
        <f ca="1">ROUND(C83*10000/F84,0)</f>
        <v>-457</v>
      </c>
      <c r="D84" s="4035" t="s">
        <v>3901</v>
      </c>
      <c r="E84" s="648" t="s">
        <v>3902</v>
      </c>
      <c r="F84" s="2769">
        <f ca="1">F32</f>
        <v>12000.23</v>
      </c>
      <c r="G84" s="935"/>
      <c r="H84" s="935"/>
      <c r="O84" s="976" t="s">
        <v>402</v>
      </c>
      <c r="P84" s="968" t="s">
        <v>839</v>
      </c>
      <c r="Q84" s="4045" t="e">
        <f ca="1">L67</f>
        <v>#DIV/0!</v>
      </c>
      <c r="R84" s="969" t="s">
        <v>840</v>
      </c>
    </row>
    <row r="85" spans="1:18" ht="13.5" thickBot="1">
      <c r="A85" s="935"/>
      <c r="B85" s="494"/>
      <c r="C85" s="494"/>
      <c r="D85" s="935"/>
      <c r="E85" s="935"/>
      <c r="F85" s="935"/>
      <c r="O85" s="976" t="s">
        <v>409</v>
      </c>
      <c r="P85" s="968" t="str">
        <f>K68</f>
        <v>建筑物剩余耐用年限下的土地年期修正系数Kn</v>
      </c>
      <c r="Q85" s="4045" t="e">
        <f ca="1">L68</f>
        <v>#DIV/0!</v>
      </c>
      <c r="R85" s="969" t="s">
        <v>841</v>
      </c>
    </row>
    <row r="86" spans="1:18" ht="27" thickBot="1">
      <c r="A86" s="935"/>
      <c r="B86" s="168" t="s">
        <v>859</v>
      </c>
      <c r="C86" s="1016"/>
      <c r="D86" s="935"/>
      <c r="E86" s="935"/>
      <c r="F86" s="935"/>
      <c r="K86" s="951"/>
      <c r="L86" s="935"/>
      <c r="O86" s="4039" t="s">
        <v>403</v>
      </c>
      <c r="P86" s="4043" t="s">
        <v>3918</v>
      </c>
      <c r="Q86" s="4042">
        <f ca="1">ROUND((Q74+Q75)*(1+F31),0)</f>
        <v>12296</v>
      </c>
      <c r="R86" s="4041" t="s">
        <v>3919</v>
      </c>
    </row>
    <row r="87" spans="1:18" ht="13">
      <c r="A87" s="935"/>
      <c r="B87" s="222" t="s">
        <v>780</v>
      </c>
      <c r="C87" s="2831">
        <f ca="1">ROUND(C53*C88,0)</f>
        <v>366</v>
      </c>
      <c r="D87" s="935"/>
      <c r="E87" s="935"/>
      <c r="F87" s="935"/>
      <c r="I87" s="935"/>
      <c r="J87" s="935"/>
      <c r="K87" s="951"/>
      <c r="L87" s="935"/>
    </row>
    <row r="88" spans="1:18" ht="13">
      <c r="B88" s="224" t="s">
        <v>781</v>
      </c>
      <c r="C88" s="2727">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2">
        <f ca="1">1-C92</f>
        <v>0.59599999999999997</v>
      </c>
    </row>
    <row r="92" spans="1:18" ht="13">
      <c r="B92" s="222" t="s">
        <v>785</v>
      </c>
      <c r="C92" s="2832">
        <f ca="1">ROUND(C87/C27,3)</f>
        <v>0.40400000000000003</v>
      </c>
    </row>
    <row r="93" spans="1:18" ht="13.5">
      <c r="B93" s="165" t="s">
        <v>786</v>
      </c>
      <c r="C93" s="133"/>
    </row>
    <row r="94" spans="1:18" ht="13">
      <c r="B94" s="168" t="s">
        <v>787</v>
      </c>
      <c r="C94" s="2833">
        <f ca="1">1-C95</f>
        <v>0.56800000000000006</v>
      </c>
    </row>
    <row r="95" spans="1:18" ht="13">
      <c r="B95" s="168" t="s">
        <v>788</v>
      </c>
      <c r="C95" s="2832">
        <f ca="1">ROUND(C53/(C28+J31+L55),3)</f>
        <v>0.432</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81" priority="3">
      <formula>$F$10="自定义"</formula>
    </cfRule>
  </conditionalFormatting>
  <conditionalFormatting sqref="C63">
    <cfRule type="expression" dxfId="80" priority="1">
      <formula>$F$62="自定义"</formula>
    </cfRule>
  </conditionalFormatting>
  <conditionalFormatting sqref="I64 I69">
    <cfRule type="expression" dxfId="79" priority="57">
      <formula>$J$60&gt;$L$57</formula>
    </cfRule>
  </conditionalFormatting>
  <conditionalFormatting sqref="J11">
    <cfRule type="expression" dxfId="78" priority="2">
      <formula>$M$10="自定义"</formula>
    </cfRule>
  </conditionalFormatting>
  <conditionalFormatting sqref="K64 K69">
    <cfRule type="expression" dxfId="7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受贵公司委托，我公司对北京市东城区朝阳门北大街8号房地产抵押价值进行了预评估。</v>
      </c>
    </row>
    <row r="5" spans="1:1" ht="18">
      <c r="A5" s="1026" t="s">
        <v>883</v>
      </c>
    </row>
    <row r="6" spans="1:1" ht="17.5">
      <c r="A6" s="1027" t="s">
        <v>884</v>
      </c>
    </row>
    <row r="7" spans="1:1" ht="52.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估价对象为北京市东城区朝阳门北大街8号房地产，为北京铜牛集团有限公司所有。根据《国有土地使用证》[]，估价对象（分摊）出让国有建设用地使用权面积为1066.21平方米，建筑面积为12000.23平方米。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2026年3月9日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892CF-9246-4556-B80F-9C2EF178B30B}">
  <sheetPr>
    <tabColor rgb="FF7030A0"/>
  </sheetPr>
  <dimension ref="A1:H19"/>
  <sheetViews>
    <sheetView workbookViewId="0">
      <selection activeCell="I15" sqref="I15"/>
    </sheetView>
  </sheetViews>
  <sheetFormatPr defaultRowHeight="14"/>
  <sheetData>
    <row r="1" spans="1:8">
      <c r="A1" s="4243" t="s">
        <v>4066</v>
      </c>
      <c r="B1" s="4243" t="s">
        <v>4067</v>
      </c>
      <c r="C1" s="4243" t="s">
        <v>4068</v>
      </c>
      <c r="D1" s="4243" t="s">
        <v>4069</v>
      </c>
      <c r="E1" s="4243" t="s">
        <v>4070</v>
      </c>
      <c r="F1" s="4243" t="s">
        <v>4071</v>
      </c>
      <c r="G1" s="4243" t="s">
        <v>4072</v>
      </c>
      <c r="H1" s="4243" t="s">
        <v>4073</v>
      </c>
    </row>
    <row r="2" spans="1:8">
      <c r="A2" s="4243">
        <v>2</v>
      </c>
      <c r="B2" s="4243">
        <v>18</v>
      </c>
      <c r="C2" s="4243" t="s">
        <v>4074</v>
      </c>
      <c r="D2" s="4243" t="s">
        <v>4075</v>
      </c>
      <c r="E2" s="4243" t="s">
        <v>4076</v>
      </c>
      <c r="F2" s="4243">
        <v>1470.73</v>
      </c>
      <c r="G2" s="4243" t="s">
        <v>4077</v>
      </c>
      <c r="H2" s="4243" t="s">
        <v>660</v>
      </c>
    </row>
    <row r="3" spans="1:8">
      <c r="A3" s="4243"/>
      <c r="B3" s="4243"/>
      <c r="C3" s="4243" t="s">
        <v>4078</v>
      </c>
      <c r="D3" s="4243" t="s">
        <v>4075</v>
      </c>
      <c r="E3" s="4243" t="s">
        <v>4076</v>
      </c>
      <c r="F3" s="4243">
        <v>1433.88</v>
      </c>
      <c r="G3" s="4243"/>
      <c r="H3" s="4243" t="s">
        <v>19</v>
      </c>
    </row>
    <row r="4" spans="1:8">
      <c r="A4" s="4243"/>
      <c r="B4" s="4243"/>
      <c r="C4" s="4243" t="s">
        <v>4079</v>
      </c>
      <c r="D4" s="4243" t="s">
        <v>4075</v>
      </c>
      <c r="E4" s="4243" t="s">
        <v>4076</v>
      </c>
      <c r="F4" s="4243">
        <v>1603.4</v>
      </c>
      <c r="G4" s="4243"/>
      <c r="H4" s="4243" t="s">
        <v>19</v>
      </c>
    </row>
    <row r="5" spans="1:8">
      <c r="A5" s="4243"/>
      <c r="B5" s="4243"/>
      <c r="C5" s="4243" t="s">
        <v>4080</v>
      </c>
      <c r="D5" s="4243" t="s">
        <v>4075</v>
      </c>
      <c r="E5" s="4243" t="s">
        <v>4076</v>
      </c>
      <c r="F5" s="4243">
        <v>1368.47</v>
      </c>
      <c r="G5" s="4243"/>
      <c r="H5" s="4243" t="s">
        <v>19</v>
      </c>
    </row>
    <row r="6" spans="1:8">
      <c r="A6" s="4243"/>
      <c r="B6" s="4243"/>
      <c r="C6" s="4243" t="s">
        <v>4081</v>
      </c>
      <c r="D6" s="4243" t="s">
        <v>4075</v>
      </c>
      <c r="E6" s="4243" t="s">
        <v>4076</v>
      </c>
      <c r="F6" s="4243">
        <v>3105.94</v>
      </c>
      <c r="G6" s="4243"/>
      <c r="H6" s="4243" t="s">
        <v>19</v>
      </c>
    </row>
    <row r="7" spans="1:8">
      <c r="A7" s="4243"/>
      <c r="B7" s="4243"/>
      <c r="C7" s="4243" t="s">
        <v>4082</v>
      </c>
      <c r="D7" s="4243" t="s">
        <v>4075</v>
      </c>
      <c r="E7" s="4243" t="s">
        <v>4076</v>
      </c>
      <c r="F7" s="4243">
        <v>793.45</v>
      </c>
      <c r="G7" s="4243"/>
      <c r="H7" s="4243" t="s">
        <v>19</v>
      </c>
    </row>
    <row r="8" spans="1:8">
      <c r="A8" s="4243">
        <v>7</v>
      </c>
      <c r="B8" s="4243">
        <v>3</v>
      </c>
      <c r="C8" s="4243" t="s">
        <v>4083</v>
      </c>
      <c r="D8" s="4243" t="s">
        <v>4075</v>
      </c>
      <c r="E8" s="4243" t="s">
        <v>4076</v>
      </c>
      <c r="F8" s="4243">
        <v>826.61</v>
      </c>
      <c r="G8" s="4243"/>
      <c r="H8" s="4243" t="s">
        <v>4084</v>
      </c>
    </row>
    <row r="9" spans="1:8">
      <c r="A9" s="4243"/>
      <c r="B9" s="4243"/>
      <c r="C9" s="4243" t="s">
        <v>4085</v>
      </c>
      <c r="D9" s="4243" t="s">
        <v>4075</v>
      </c>
      <c r="E9" s="4243" t="s">
        <v>4076</v>
      </c>
      <c r="F9" s="4243">
        <v>917.51</v>
      </c>
      <c r="G9" s="4243"/>
      <c r="H9" s="4243" t="s">
        <v>4086</v>
      </c>
    </row>
    <row r="10" spans="1:8">
      <c r="A10" s="4243"/>
      <c r="B10" s="4243"/>
      <c r="C10" s="4243" t="s">
        <v>4087</v>
      </c>
      <c r="D10" s="4243" t="s">
        <v>4075</v>
      </c>
      <c r="E10" s="4243" t="s">
        <v>4076</v>
      </c>
      <c r="F10" s="4243">
        <v>480.24</v>
      </c>
      <c r="G10" s="4243"/>
      <c r="H10" s="4243" t="s">
        <v>4088</v>
      </c>
    </row>
    <row r="11" spans="1:8">
      <c r="A11" s="4243"/>
      <c r="B11" s="4243"/>
      <c r="C11" s="4243"/>
      <c r="D11" s="4243"/>
      <c r="E11" s="4243" t="s">
        <v>4089</v>
      </c>
      <c r="F11" s="4243">
        <v>12000.230000000001</v>
      </c>
      <c r="G11" s="4243"/>
      <c r="H11" s="4243"/>
    </row>
    <row r="15" spans="1:8">
      <c r="A15" s="4242"/>
      <c r="B15" s="4243" t="s">
        <v>4090</v>
      </c>
      <c r="C15" s="4243">
        <f>F2+F3+F4+F5+F6+F7</f>
        <v>9775.8700000000008</v>
      </c>
      <c r="D15" s="4242"/>
      <c r="E15" s="4242"/>
      <c r="F15" s="4242"/>
      <c r="G15" s="4242"/>
      <c r="H15" s="4242"/>
    </row>
    <row r="16" spans="1:8">
      <c r="A16" s="4242"/>
      <c r="B16" s="4243" t="s">
        <v>4091</v>
      </c>
      <c r="C16" s="4243">
        <f>F8+F9+F10</f>
        <v>2224.3599999999997</v>
      </c>
      <c r="D16" s="4242">
        <f>ROUND(C16/C17,2)</f>
        <v>0.19</v>
      </c>
      <c r="E16" s="4242"/>
      <c r="F16" s="4242"/>
      <c r="G16" s="4242"/>
      <c r="H16" s="4242"/>
    </row>
    <row r="17" spans="2:3">
      <c r="B17" s="4243" t="s">
        <v>4089</v>
      </c>
      <c r="C17" s="4243">
        <f>C15+C16</f>
        <v>12000.23</v>
      </c>
    </row>
    <row r="19" spans="2:3">
      <c r="B19" s="4242" t="s">
        <v>4092</v>
      </c>
      <c r="C19" s="4242">
        <f>F2+F3+F4+F5+F6+F7+F8</f>
        <v>10602.480000000001</v>
      </c>
    </row>
  </sheetData>
  <phoneticPr fontId="135"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51A1-8742-4A42-886D-B3E65F448327}">
  <sheetPr>
    <tabColor rgb="FF7030A0"/>
  </sheetPr>
  <dimension ref="A1:L40"/>
  <sheetViews>
    <sheetView topLeftCell="A22" workbookViewId="0">
      <selection activeCell="J11" sqref="J11"/>
    </sheetView>
  </sheetViews>
  <sheetFormatPr defaultColWidth="8.90625" defaultRowHeight="14"/>
  <cols>
    <col min="2" max="2" width="38.90625" customWidth="1"/>
    <col min="9" max="9" width="13.08984375" customWidth="1"/>
    <col min="10" max="10" width="23.08984375" customWidth="1"/>
  </cols>
  <sheetData>
    <row r="1" spans="1:12">
      <c r="A1" s="4644" t="s">
        <v>4024</v>
      </c>
      <c r="B1" s="4638" t="s">
        <v>4209</v>
      </c>
      <c r="C1" s="4647" t="s">
        <v>4210</v>
      </c>
      <c r="D1" s="4649" t="s">
        <v>4211</v>
      </c>
      <c r="E1" s="4649" t="s">
        <v>4212</v>
      </c>
      <c r="F1" s="4640" t="s">
        <v>4213</v>
      </c>
      <c r="G1" s="4638" t="s">
        <v>4214</v>
      </c>
      <c r="H1" s="4639" t="s">
        <v>4215</v>
      </c>
      <c r="I1" s="4640"/>
      <c r="J1" s="4643" t="s">
        <v>4216</v>
      </c>
    </row>
    <row r="2" spans="1:12">
      <c r="A2" s="4645"/>
      <c r="B2" s="4638"/>
      <c r="C2" s="4648"/>
      <c r="D2" s="4650"/>
      <c r="E2" s="4650"/>
      <c r="F2" s="4651"/>
      <c r="G2" s="4638"/>
      <c r="H2" s="4641"/>
      <c r="I2" s="4642"/>
      <c r="J2" s="4643"/>
    </row>
    <row r="3" spans="1:12">
      <c r="A3" s="4646"/>
      <c r="B3" s="4270" t="s">
        <v>4217</v>
      </c>
      <c r="C3" s="4270" t="s">
        <v>4218</v>
      </c>
      <c r="D3" s="4270" t="s">
        <v>4219</v>
      </c>
      <c r="E3" s="4270" t="s">
        <v>4220</v>
      </c>
      <c r="F3" s="4270" t="s">
        <v>4221</v>
      </c>
      <c r="G3" s="4270" t="s">
        <v>4222</v>
      </c>
      <c r="H3" s="4270" t="s">
        <v>4223</v>
      </c>
      <c r="I3" s="4270" t="s">
        <v>4224</v>
      </c>
      <c r="J3" s="4270" t="s">
        <v>4225</v>
      </c>
    </row>
    <row r="4" spans="1:12">
      <c r="A4" s="4271">
        <v>1</v>
      </c>
      <c r="B4" s="4272" t="s">
        <v>4226</v>
      </c>
      <c r="C4" s="4272" t="s">
        <v>4227</v>
      </c>
      <c r="D4" s="4272" t="s">
        <v>4228</v>
      </c>
      <c r="E4" s="4273">
        <v>873</v>
      </c>
      <c r="F4" s="4273">
        <v>955935</v>
      </c>
      <c r="G4" s="4273">
        <v>3</v>
      </c>
      <c r="H4" s="4274"/>
      <c r="I4" s="4274"/>
      <c r="J4" s="4275" t="s">
        <v>4229</v>
      </c>
      <c r="L4">
        <f>F4/E4/365</f>
        <v>3</v>
      </c>
    </row>
    <row r="5" spans="1:12">
      <c r="A5" s="4271">
        <v>2</v>
      </c>
      <c r="B5" s="4272" t="s">
        <v>4230</v>
      </c>
      <c r="C5" s="4272" t="s">
        <v>4231</v>
      </c>
      <c r="D5" s="4272" t="s">
        <v>4232</v>
      </c>
      <c r="E5" s="4273">
        <v>168</v>
      </c>
      <c r="F5" s="4273">
        <v>628530</v>
      </c>
      <c r="G5" s="4271">
        <v>10.25</v>
      </c>
      <c r="H5" s="4274"/>
      <c r="I5" s="4274"/>
      <c r="J5" s="4275" t="s">
        <v>4233</v>
      </c>
      <c r="L5">
        <f t="shared" ref="L5:L40" si="0">F5/E5/365</f>
        <v>10.25</v>
      </c>
    </row>
    <row r="6" spans="1:12">
      <c r="A6" s="4271">
        <v>3</v>
      </c>
      <c r="B6" s="4271" t="s">
        <v>4234</v>
      </c>
      <c r="C6" s="4271" t="s">
        <v>4235</v>
      </c>
      <c r="D6" s="4271" t="s">
        <v>4236</v>
      </c>
      <c r="E6" s="4271">
        <v>1300</v>
      </c>
      <c r="F6" s="4271">
        <v>3558750</v>
      </c>
      <c r="G6" s="4271">
        <v>7.4</v>
      </c>
      <c r="H6" s="4276"/>
      <c r="I6" s="4276"/>
      <c r="J6" s="4277" t="s">
        <v>4237</v>
      </c>
      <c r="L6">
        <f t="shared" si="0"/>
        <v>7.5</v>
      </c>
    </row>
    <row r="7" spans="1:12">
      <c r="A7" s="4271">
        <v>4</v>
      </c>
      <c r="B7" s="4272" t="s">
        <v>4238</v>
      </c>
      <c r="C7" s="4272" t="s">
        <v>4239</v>
      </c>
      <c r="D7" s="4272" t="s">
        <v>4240</v>
      </c>
      <c r="E7" s="4273">
        <v>49</v>
      </c>
      <c r="F7" s="4271">
        <v>78292.5</v>
      </c>
      <c r="G7" s="4271">
        <v>5.67</v>
      </c>
      <c r="H7" s="4274">
        <v>0.03</v>
      </c>
      <c r="I7" s="4274" t="s">
        <v>4241</v>
      </c>
      <c r="J7" s="4275" t="s">
        <v>4242</v>
      </c>
      <c r="L7">
        <f t="shared" si="0"/>
        <v>4.3775510204081627</v>
      </c>
    </row>
    <row r="8" spans="1:12">
      <c r="A8" s="4271">
        <v>5</v>
      </c>
      <c r="B8" s="4272" t="s">
        <v>4243</v>
      </c>
      <c r="C8" s="4272" t="s">
        <v>4227</v>
      </c>
      <c r="D8" s="4272" t="s">
        <v>4244</v>
      </c>
      <c r="E8" s="4273">
        <v>313</v>
      </c>
      <c r="F8" s="4271">
        <v>514102.5</v>
      </c>
      <c r="G8" s="4271">
        <v>4.5</v>
      </c>
      <c r="H8" s="4274"/>
      <c r="I8" s="4274"/>
      <c r="J8" s="4275" t="s">
        <v>4245</v>
      </c>
      <c r="L8">
        <f t="shared" si="0"/>
        <v>4.5</v>
      </c>
    </row>
    <row r="9" spans="1:12">
      <c r="A9" s="4271">
        <v>6</v>
      </c>
      <c r="B9" s="4272" t="s">
        <v>4246</v>
      </c>
      <c r="C9" s="4272" t="s">
        <v>4227</v>
      </c>
      <c r="D9" s="4272" t="s">
        <v>4247</v>
      </c>
      <c r="E9" s="4273">
        <v>70</v>
      </c>
      <c r="F9" s="4271">
        <v>114975</v>
      </c>
      <c r="G9" s="4271">
        <v>4.5</v>
      </c>
      <c r="H9" s="4274"/>
      <c r="I9" s="4274"/>
      <c r="J9" s="4275" t="s">
        <v>4245</v>
      </c>
      <c r="L9">
        <f t="shared" si="0"/>
        <v>4.5</v>
      </c>
    </row>
    <row r="10" spans="1:12">
      <c r="A10" s="4271">
        <v>7</v>
      </c>
      <c r="B10" s="4272" t="s">
        <v>4248</v>
      </c>
      <c r="C10" s="4272" t="s">
        <v>4227</v>
      </c>
      <c r="D10" s="4272" t="s">
        <v>4249</v>
      </c>
      <c r="E10" s="4273">
        <v>50</v>
      </c>
      <c r="F10" s="4271">
        <v>82125</v>
      </c>
      <c r="G10" s="4271">
        <v>4.5</v>
      </c>
      <c r="H10" s="4274"/>
      <c r="I10" s="4274"/>
      <c r="J10" s="4275" t="s">
        <v>4245</v>
      </c>
      <c r="L10">
        <f t="shared" si="0"/>
        <v>4.5</v>
      </c>
    </row>
    <row r="11" spans="1:12">
      <c r="A11" s="4271">
        <v>8</v>
      </c>
      <c r="B11" s="4272" t="s">
        <v>4250</v>
      </c>
      <c r="C11" s="4272" t="s">
        <v>4251</v>
      </c>
      <c r="D11" s="4272" t="s">
        <v>4252</v>
      </c>
      <c r="E11" s="4273">
        <v>440</v>
      </c>
      <c r="F11" s="4271">
        <v>697539.33</v>
      </c>
      <c r="G11" s="4271">
        <v>4.3</v>
      </c>
      <c r="H11" s="4274">
        <v>0.03</v>
      </c>
      <c r="I11" s="4274" t="s">
        <v>4253</v>
      </c>
      <c r="J11" s="4275" t="s">
        <v>4254</v>
      </c>
      <c r="L11">
        <f t="shared" si="0"/>
        <v>4.3433333125778333</v>
      </c>
    </row>
    <row r="12" spans="1:12">
      <c r="A12" s="4271">
        <v>9</v>
      </c>
      <c r="B12" s="4272" t="s">
        <v>4255</v>
      </c>
      <c r="C12" s="4272" t="s">
        <v>4227</v>
      </c>
      <c r="D12" s="4272" t="s">
        <v>4256</v>
      </c>
      <c r="E12" s="4273">
        <v>177</v>
      </c>
      <c r="F12" s="4271">
        <v>290722.5</v>
      </c>
      <c r="G12" s="4271">
        <v>4.5</v>
      </c>
      <c r="H12" s="4274"/>
      <c r="I12" s="4274"/>
      <c r="J12" s="4275" t="s">
        <v>4257</v>
      </c>
      <c r="L12">
        <f t="shared" si="0"/>
        <v>4.5</v>
      </c>
    </row>
    <row r="13" spans="1:12">
      <c r="A13" s="4271">
        <v>10</v>
      </c>
      <c r="B13" s="4272" t="s">
        <v>4258</v>
      </c>
      <c r="C13" s="4272" t="s">
        <v>4227</v>
      </c>
      <c r="D13" s="4272" t="s">
        <v>4259</v>
      </c>
      <c r="E13" s="4273">
        <v>267</v>
      </c>
      <c r="F13" s="4271">
        <v>467784</v>
      </c>
      <c r="G13" s="4271">
        <v>4.8</v>
      </c>
      <c r="H13" s="4274">
        <v>0.03</v>
      </c>
      <c r="I13" s="4274" t="s">
        <v>4260</v>
      </c>
      <c r="J13" s="4275" t="s">
        <v>4261</v>
      </c>
      <c r="L13">
        <f t="shared" si="0"/>
        <v>4.8</v>
      </c>
    </row>
    <row r="14" spans="1:12">
      <c r="A14" s="4271">
        <v>11</v>
      </c>
      <c r="B14" s="4272" t="s">
        <v>4262</v>
      </c>
      <c r="C14" s="4272" t="s">
        <v>4263</v>
      </c>
      <c r="D14" s="4272" t="s">
        <v>4264</v>
      </c>
      <c r="E14" s="4273">
        <v>68</v>
      </c>
      <c r="F14" s="4271">
        <v>95556</v>
      </c>
      <c r="G14" s="4271">
        <v>3.85</v>
      </c>
      <c r="H14" s="4274"/>
      <c r="I14" s="4274"/>
      <c r="J14" s="4275" t="s">
        <v>4265</v>
      </c>
      <c r="L14">
        <f t="shared" si="0"/>
        <v>3.8499597099113618</v>
      </c>
    </row>
    <row r="15" spans="1:12">
      <c r="A15" s="4271">
        <v>12</v>
      </c>
      <c r="B15" s="4272" t="s">
        <v>4266</v>
      </c>
      <c r="C15" s="4272" t="s">
        <v>4267</v>
      </c>
      <c r="D15" s="4272" t="s">
        <v>4268</v>
      </c>
      <c r="E15" s="4273">
        <v>1603</v>
      </c>
      <c r="F15" s="4273">
        <v>2369634.75</v>
      </c>
      <c r="G15" s="4271">
        <v>4.05</v>
      </c>
      <c r="H15" s="4274"/>
      <c r="I15" s="4274"/>
      <c r="J15" s="4275" t="s">
        <v>4269</v>
      </c>
      <c r="L15">
        <f t="shared" si="0"/>
        <v>4.05</v>
      </c>
    </row>
    <row r="16" spans="1:12">
      <c r="A16" s="4271">
        <v>13</v>
      </c>
      <c r="B16" s="4272" t="s">
        <v>4270</v>
      </c>
      <c r="C16" s="4272" t="s">
        <v>4239</v>
      </c>
      <c r="D16" s="4272" t="s">
        <v>4271</v>
      </c>
      <c r="E16" s="4273">
        <v>108</v>
      </c>
      <c r="F16" s="4273">
        <v>169506</v>
      </c>
      <c r="G16" s="4271">
        <v>4.3</v>
      </c>
      <c r="H16" s="4274"/>
      <c r="I16" s="4274"/>
      <c r="J16" s="4275" t="s">
        <v>4272</v>
      </c>
      <c r="L16">
        <f t="shared" si="0"/>
        <v>4.3</v>
      </c>
    </row>
    <row r="17" spans="1:12">
      <c r="A17" s="4271">
        <v>14</v>
      </c>
      <c r="B17" s="4278" t="s">
        <v>4273</v>
      </c>
      <c r="C17" s="4272" t="s">
        <v>4239</v>
      </c>
      <c r="D17" s="4272" t="s">
        <v>4274</v>
      </c>
      <c r="E17" s="4273">
        <v>34</v>
      </c>
      <c r="F17" s="4273">
        <v>53363</v>
      </c>
      <c r="G17" s="4271">
        <v>4.3</v>
      </c>
      <c r="H17" s="4274"/>
      <c r="I17" s="4274"/>
      <c r="J17" s="4275" t="s">
        <v>4272</v>
      </c>
      <c r="L17">
        <f t="shared" si="0"/>
        <v>4.3</v>
      </c>
    </row>
    <row r="18" spans="1:12">
      <c r="A18" s="4271">
        <v>15</v>
      </c>
      <c r="B18" s="4279" t="s">
        <v>4275</v>
      </c>
      <c r="C18" s="4272" t="s">
        <v>4231</v>
      </c>
      <c r="D18" s="4272" t="s">
        <v>4276</v>
      </c>
      <c r="E18" s="4273">
        <v>121</v>
      </c>
      <c r="F18" s="4273">
        <v>154577.5</v>
      </c>
      <c r="G18" s="4271">
        <v>3.5</v>
      </c>
      <c r="H18" s="4274"/>
      <c r="I18" s="4274"/>
      <c r="J18" s="4275" t="s">
        <v>4277</v>
      </c>
      <c r="L18">
        <f t="shared" si="0"/>
        <v>3.5</v>
      </c>
    </row>
    <row r="19" spans="1:12">
      <c r="A19" s="4271">
        <v>16</v>
      </c>
      <c r="B19" s="4280" t="s">
        <v>4278</v>
      </c>
      <c r="C19" s="4272" t="s">
        <v>4231</v>
      </c>
      <c r="D19" s="4272" t="s">
        <v>4279</v>
      </c>
      <c r="E19" s="4273">
        <v>264</v>
      </c>
      <c r="F19" s="4273">
        <v>395076</v>
      </c>
      <c r="G19" s="4271">
        <v>4.0999999999999996</v>
      </c>
      <c r="H19" s="4274"/>
      <c r="I19" s="4274"/>
      <c r="J19" s="4275" t="s">
        <v>4280</v>
      </c>
      <c r="L19">
        <f t="shared" si="0"/>
        <v>4.0999999999999996</v>
      </c>
    </row>
    <row r="20" spans="1:12">
      <c r="A20" s="4271">
        <v>17</v>
      </c>
      <c r="B20" s="4280" t="s">
        <v>4281</v>
      </c>
      <c r="C20" s="4272" t="s">
        <v>4231</v>
      </c>
      <c r="D20" s="4272" t="s">
        <v>4282</v>
      </c>
      <c r="E20" s="4273">
        <v>148.5</v>
      </c>
      <c r="F20" s="4273">
        <v>222230.25</v>
      </c>
      <c r="G20" s="4271">
        <v>4.0999999999999996</v>
      </c>
      <c r="H20" s="4274"/>
      <c r="I20" s="4274"/>
      <c r="J20" s="4275" t="s">
        <v>4280</v>
      </c>
      <c r="L20">
        <f t="shared" si="0"/>
        <v>4.0999999999999996</v>
      </c>
    </row>
    <row r="21" spans="1:12">
      <c r="A21" s="4271">
        <v>18</v>
      </c>
      <c r="B21" s="4280" t="s">
        <v>4283</v>
      </c>
      <c r="C21" s="4272" t="s">
        <v>4231</v>
      </c>
      <c r="D21" s="4272" t="s">
        <v>4284</v>
      </c>
      <c r="E21" s="4273">
        <v>117.5</v>
      </c>
      <c r="F21" s="4273">
        <v>175838.75</v>
      </c>
      <c r="G21" s="4271">
        <v>4.0999999999999996</v>
      </c>
      <c r="H21" s="4274"/>
      <c r="I21" s="4274"/>
      <c r="J21" s="4275" t="s">
        <v>4280</v>
      </c>
      <c r="L21">
        <f t="shared" si="0"/>
        <v>4.0999999999999996</v>
      </c>
    </row>
    <row r="22" spans="1:12">
      <c r="A22" s="4271">
        <v>19</v>
      </c>
      <c r="B22" s="4280" t="s">
        <v>4285</v>
      </c>
      <c r="C22" s="4272" t="s">
        <v>4231</v>
      </c>
      <c r="D22" s="4272" t="s">
        <v>4286</v>
      </c>
      <c r="E22" s="4273">
        <v>20</v>
      </c>
      <c r="F22" s="4273">
        <v>29930</v>
      </c>
      <c r="G22" s="4271">
        <v>4.0999999999999996</v>
      </c>
      <c r="H22" s="4274"/>
      <c r="I22" s="4274"/>
      <c r="J22" s="4275" t="s">
        <v>4280</v>
      </c>
      <c r="L22">
        <f t="shared" si="0"/>
        <v>4.0999999999999996</v>
      </c>
    </row>
    <row r="23" spans="1:12" ht="26">
      <c r="A23" s="4271">
        <v>20</v>
      </c>
      <c r="B23" s="4272" t="s">
        <v>4266</v>
      </c>
      <c r="C23" s="4272" t="s">
        <v>4267</v>
      </c>
      <c r="D23" s="4272" t="s">
        <v>4287</v>
      </c>
      <c r="E23" s="4273">
        <v>1286</v>
      </c>
      <c r="F23" s="4273">
        <v>1901029.56</v>
      </c>
      <c r="G23" s="4271">
        <v>4.05</v>
      </c>
      <c r="H23" s="4274"/>
      <c r="I23" s="4274"/>
      <c r="J23" s="4275" t="s">
        <v>4288</v>
      </c>
      <c r="L23">
        <f t="shared" si="0"/>
        <v>4.0500001278254754</v>
      </c>
    </row>
    <row r="24" spans="1:12">
      <c r="A24" s="4271">
        <v>21</v>
      </c>
      <c r="B24" s="4272" t="s">
        <v>4289</v>
      </c>
      <c r="C24" s="4272" t="s">
        <v>4231</v>
      </c>
      <c r="D24" s="4272" t="s">
        <v>4290</v>
      </c>
      <c r="E24" s="4273">
        <v>267</v>
      </c>
      <c r="F24" s="4273">
        <v>587848.56000000006</v>
      </c>
      <c r="G24" s="4271">
        <v>5.96</v>
      </c>
      <c r="H24" s="4274">
        <v>0.03</v>
      </c>
      <c r="I24" s="4274" t="s">
        <v>4291</v>
      </c>
      <c r="J24" s="4275" t="s">
        <v>4292</v>
      </c>
      <c r="L24">
        <f t="shared" si="0"/>
        <v>6.0320000000000009</v>
      </c>
    </row>
    <row r="25" spans="1:12">
      <c r="A25" s="4271">
        <v>22</v>
      </c>
      <c r="B25" s="4272" t="s">
        <v>4293</v>
      </c>
      <c r="C25" s="4272" t="s">
        <v>4239</v>
      </c>
      <c r="D25" s="4272" t="s">
        <v>4294</v>
      </c>
      <c r="E25" s="4273">
        <v>111</v>
      </c>
      <c r="F25" s="4273">
        <v>174214.5</v>
      </c>
      <c r="G25" s="4271">
        <v>4.3</v>
      </c>
      <c r="H25" s="4274">
        <v>0.03</v>
      </c>
      <c r="I25" s="4274" t="s">
        <v>4295</v>
      </c>
      <c r="J25" s="4275" t="s">
        <v>4296</v>
      </c>
      <c r="L25">
        <f t="shared" si="0"/>
        <v>4.3</v>
      </c>
    </row>
    <row r="26" spans="1:12">
      <c r="A26" s="4271">
        <v>23</v>
      </c>
      <c r="B26" s="4272" t="s">
        <v>4266</v>
      </c>
      <c r="C26" s="4272" t="s">
        <v>4267</v>
      </c>
      <c r="D26" s="4272" t="s">
        <v>4297</v>
      </c>
      <c r="E26" s="4273">
        <v>590</v>
      </c>
      <c r="F26" s="4273">
        <v>872167.56</v>
      </c>
      <c r="G26" s="4271">
        <v>4.05</v>
      </c>
      <c r="H26" s="4274">
        <v>0.03</v>
      </c>
      <c r="I26" s="4274" t="s">
        <v>4298</v>
      </c>
      <c r="J26" s="4275" t="s">
        <v>4299</v>
      </c>
      <c r="L26">
        <f t="shared" si="0"/>
        <v>4.0500002786162064</v>
      </c>
    </row>
    <row r="27" spans="1:12">
      <c r="A27" s="4271">
        <v>24</v>
      </c>
      <c r="B27" s="4272" t="s">
        <v>4266</v>
      </c>
      <c r="C27" s="4272" t="s">
        <v>4267</v>
      </c>
      <c r="D27" s="4272" t="s">
        <v>4300</v>
      </c>
      <c r="E27" s="4273">
        <v>267</v>
      </c>
      <c r="F27" s="4273">
        <v>394692.72</v>
      </c>
      <c r="G27" s="4271">
        <v>4.05</v>
      </c>
      <c r="H27" s="4274">
        <v>0.03</v>
      </c>
      <c r="I27" s="4274" t="s">
        <v>4301</v>
      </c>
      <c r="J27" s="4275" t="s">
        <v>4302</v>
      </c>
      <c r="L27">
        <f t="shared" si="0"/>
        <v>4.0499996921656143</v>
      </c>
    </row>
    <row r="28" spans="1:12">
      <c r="A28" s="4271">
        <v>25</v>
      </c>
      <c r="B28" s="4272" t="s">
        <v>4266</v>
      </c>
      <c r="C28" s="4272" t="s">
        <v>4267</v>
      </c>
      <c r="D28" s="4272" t="s">
        <v>4303</v>
      </c>
      <c r="E28" s="4273">
        <v>186</v>
      </c>
      <c r="F28" s="4273">
        <v>312300</v>
      </c>
      <c r="G28" s="4271">
        <v>4.05</v>
      </c>
      <c r="H28" s="4274"/>
      <c r="I28" s="4274"/>
      <c r="J28" s="4275" t="s">
        <v>4304</v>
      </c>
      <c r="L28">
        <f t="shared" si="0"/>
        <v>4.6000883782589481</v>
      </c>
    </row>
    <row r="29" spans="1:12">
      <c r="A29" s="4271">
        <v>26</v>
      </c>
      <c r="B29" s="4272" t="s">
        <v>4305</v>
      </c>
      <c r="C29" s="4272" t="s">
        <v>4306</v>
      </c>
      <c r="D29" s="4272" t="s">
        <v>4307</v>
      </c>
      <c r="E29" s="4273">
        <v>25</v>
      </c>
      <c r="F29" s="4273">
        <v>47904</v>
      </c>
      <c r="G29" s="4271">
        <v>5.25</v>
      </c>
      <c r="H29" s="4274"/>
      <c r="I29" s="4274"/>
      <c r="J29" s="4275" t="s">
        <v>4308</v>
      </c>
      <c r="L29">
        <f t="shared" si="0"/>
        <v>5.2497534246575341</v>
      </c>
    </row>
    <row r="30" spans="1:12">
      <c r="A30" s="4271">
        <v>27</v>
      </c>
      <c r="B30" s="4281" t="s">
        <v>4266</v>
      </c>
      <c r="C30" s="4272" t="s">
        <v>4239</v>
      </c>
      <c r="D30" s="4272" t="s">
        <v>4309</v>
      </c>
      <c r="E30" s="4273">
        <v>45</v>
      </c>
      <c r="F30" s="4273">
        <v>32850</v>
      </c>
      <c r="G30" s="4271">
        <v>2</v>
      </c>
      <c r="H30" s="4274"/>
      <c r="I30" s="4274"/>
      <c r="J30" s="4275" t="s">
        <v>4310</v>
      </c>
      <c r="L30">
        <f t="shared" si="0"/>
        <v>2</v>
      </c>
    </row>
    <row r="31" spans="1:12">
      <c r="A31" s="4271">
        <v>28</v>
      </c>
      <c r="B31" s="4272" t="s">
        <v>4293</v>
      </c>
      <c r="C31" s="4272" t="s">
        <v>4251</v>
      </c>
      <c r="D31" s="4272" t="s">
        <v>4311</v>
      </c>
      <c r="E31" s="4273">
        <v>25</v>
      </c>
      <c r="F31" s="4273">
        <v>22812</v>
      </c>
      <c r="G31" s="4271">
        <v>2.5</v>
      </c>
      <c r="H31" s="4274"/>
      <c r="I31" s="4274"/>
      <c r="J31" s="4275" t="s">
        <v>4312</v>
      </c>
      <c r="L31">
        <f t="shared" si="0"/>
        <v>2.499945205479452</v>
      </c>
    </row>
    <row r="32" spans="1:12">
      <c r="A32" s="4271">
        <v>29</v>
      </c>
      <c r="B32" s="4272" t="s">
        <v>4313</v>
      </c>
      <c r="C32" s="4272" t="s">
        <v>4267</v>
      </c>
      <c r="D32" s="4272" t="s">
        <v>4314</v>
      </c>
      <c r="E32" s="4273">
        <v>50</v>
      </c>
      <c r="F32" s="4273">
        <v>41975</v>
      </c>
      <c r="G32" s="4271">
        <v>2.2999999999999998</v>
      </c>
      <c r="H32" s="4274"/>
      <c r="I32" s="4274"/>
      <c r="J32" s="4275" t="s">
        <v>4315</v>
      </c>
      <c r="L32">
        <f t="shared" si="0"/>
        <v>2.2999999999999998</v>
      </c>
    </row>
    <row r="33" spans="1:12">
      <c r="A33" s="4271">
        <v>30</v>
      </c>
      <c r="B33" s="4272" t="s">
        <v>4316</v>
      </c>
      <c r="C33" s="4272" t="s">
        <v>4251</v>
      </c>
      <c r="D33" s="4272" t="s">
        <v>4317</v>
      </c>
      <c r="E33" s="4273">
        <v>45</v>
      </c>
      <c r="F33" s="4273">
        <v>32850</v>
      </c>
      <c r="G33" s="4271">
        <v>2</v>
      </c>
      <c r="H33" s="4274"/>
      <c r="I33" s="4274"/>
      <c r="J33" s="4275" t="s">
        <v>4245</v>
      </c>
      <c r="L33">
        <f t="shared" si="0"/>
        <v>2</v>
      </c>
    </row>
    <row r="34" spans="1:12">
      <c r="A34" s="4271">
        <v>31</v>
      </c>
      <c r="B34" s="4272" t="s">
        <v>4266</v>
      </c>
      <c r="C34" s="4272" t="s">
        <v>4239</v>
      </c>
      <c r="D34" s="4272" t="s">
        <v>4318</v>
      </c>
      <c r="E34" s="4273">
        <v>26</v>
      </c>
      <c r="F34" s="4273">
        <v>18984</v>
      </c>
      <c r="G34" s="4271">
        <v>2</v>
      </c>
      <c r="H34" s="4274"/>
      <c r="I34" s="4274"/>
      <c r="J34" s="4275" t="s">
        <v>4319</v>
      </c>
      <c r="L34">
        <f t="shared" si="0"/>
        <v>2.0004214963119074</v>
      </c>
    </row>
    <row r="35" spans="1:12">
      <c r="A35" s="4271">
        <v>32</v>
      </c>
      <c r="B35" s="4272" t="s">
        <v>4266</v>
      </c>
      <c r="C35" s="4272" t="s">
        <v>4239</v>
      </c>
      <c r="D35" s="4282" t="s">
        <v>4320</v>
      </c>
      <c r="E35" s="4273">
        <v>68</v>
      </c>
      <c r="F35" s="4273">
        <v>49644</v>
      </c>
      <c r="G35" s="4271">
        <v>2</v>
      </c>
      <c r="H35" s="4274"/>
      <c r="I35" s="4274"/>
      <c r="J35" s="4275" t="s">
        <v>4321</v>
      </c>
      <c r="L35">
        <f t="shared" si="0"/>
        <v>2.0001611603545526</v>
      </c>
    </row>
    <row r="36" spans="1:12">
      <c r="A36" s="4271">
        <v>33</v>
      </c>
      <c r="B36" s="4272" t="s">
        <v>4322</v>
      </c>
      <c r="C36" s="4272" t="s">
        <v>4239</v>
      </c>
      <c r="D36" s="4272" t="s">
        <v>4323</v>
      </c>
      <c r="E36" s="4273">
        <v>8</v>
      </c>
      <c r="F36" s="4273">
        <v>16264.44</v>
      </c>
      <c r="G36" s="4271">
        <v>5.57</v>
      </c>
      <c r="H36" s="4274">
        <v>0.03</v>
      </c>
      <c r="I36" s="4274" t="s">
        <v>4324</v>
      </c>
      <c r="J36" s="4275" t="s">
        <v>4325</v>
      </c>
      <c r="L36">
        <f t="shared" si="0"/>
        <v>5.5700136986301372</v>
      </c>
    </row>
    <row r="37" spans="1:12">
      <c r="A37" s="4271">
        <v>34</v>
      </c>
      <c r="B37" s="4272" t="s">
        <v>4326</v>
      </c>
      <c r="C37" s="4272" t="s">
        <v>4239</v>
      </c>
      <c r="D37" s="4283" t="s">
        <v>4327</v>
      </c>
      <c r="E37" s="4283">
        <v>267</v>
      </c>
      <c r="F37" s="4283">
        <v>409311</v>
      </c>
      <c r="G37" s="4284">
        <v>4.2</v>
      </c>
      <c r="H37" s="4274">
        <v>0.03</v>
      </c>
      <c r="I37" s="4283" t="s">
        <v>4328</v>
      </c>
      <c r="J37" s="4275" t="s">
        <v>4329</v>
      </c>
      <c r="L37">
        <f t="shared" si="0"/>
        <v>4.2</v>
      </c>
    </row>
    <row r="38" spans="1:12">
      <c r="A38" s="4271">
        <v>35</v>
      </c>
      <c r="B38" s="4272" t="s">
        <v>4330</v>
      </c>
      <c r="C38" s="4272" t="s">
        <v>4239</v>
      </c>
      <c r="D38" s="4283" t="s">
        <v>4331</v>
      </c>
      <c r="E38" s="4283">
        <v>367.41</v>
      </c>
      <c r="F38" s="4283">
        <v>549829.06000000006</v>
      </c>
      <c r="G38" s="4284">
        <v>4.0999999999999996</v>
      </c>
      <c r="H38" s="4274">
        <v>0.03</v>
      </c>
      <c r="I38" s="4283" t="s">
        <v>4332</v>
      </c>
      <c r="J38" s="4275" t="s">
        <v>4333</v>
      </c>
      <c r="L38">
        <f t="shared" si="0"/>
        <v>4.0999999627156853</v>
      </c>
    </row>
    <row r="39" spans="1:12">
      <c r="A39" s="4271">
        <v>36</v>
      </c>
      <c r="B39" s="4272" t="s">
        <v>4334</v>
      </c>
      <c r="C39" s="4272" t="s">
        <v>4227</v>
      </c>
      <c r="D39" s="4283" t="s">
        <v>4335</v>
      </c>
      <c r="E39" s="4283">
        <v>319.17</v>
      </c>
      <c r="F39" s="4283">
        <v>465988.2</v>
      </c>
      <c r="G39" s="4284">
        <v>4</v>
      </c>
      <c r="H39" s="4283"/>
      <c r="I39" s="4283"/>
      <c r="J39" s="4275" t="s">
        <v>4336</v>
      </c>
      <c r="L39">
        <f t="shared" si="0"/>
        <v>4</v>
      </c>
    </row>
    <row r="40" spans="1:12">
      <c r="E40" s="4286">
        <f>SUM(E4:E39)</f>
        <v>10143.58</v>
      </c>
      <c r="F40" s="4286">
        <f>SUM(F4:F39)</f>
        <v>16985132.680000003</v>
      </c>
      <c r="G40" s="4286"/>
      <c r="H40" s="4286"/>
      <c r="I40" s="4286"/>
      <c r="J40" s="4286"/>
      <c r="K40" s="4286"/>
      <c r="L40" s="4286">
        <f t="shared" si="0"/>
        <v>4.5875923571551454</v>
      </c>
    </row>
  </sheetData>
  <mergeCells count="9">
    <mergeCell ref="G1:G2"/>
    <mergeCell ref="H1:I2"/>
    <mergeCell ref="J1:J2"/>
    <mergeCell ref="A1:A3"/>
    <mergeCell ref="B1:B2"/>
    <mergeCell ref="C1:C2"/>
    <mergeCell ref="D1:D2"/>
    <mergeCell ref="E1:E2"/>
    <mergeCell ref="F1:F2"/>
  </mergeCells>
  <phoneticPr fontId="1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7" customWidth="1"/>
    <col min="17" max="17" width="19.453125" style="3187" customWidth="1"/>
    <col min="18" max="18" width="6.08984375" style="3187" customWidth="1"/>
    <col min="19" max="19" width="4.36328125" style="3187" customWidth="1"/>
    <col min="20" max="20" width="6.08984375" style="3187" customWidth="1"/>
    <col min="21" max="21" width="4.36328125" style="3187" customWidth="1"/>
    <col min="22" max="22" width="6.08984375" style="3187" customWidth="1"/>
    <col min="23" max="23" width="4.36328125" style="318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5">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12000.230000000001</v>
      </c>
      <c r="E3" s="3848" t="s">
        <v>3476</v>
      </c>
      <c r="F3" s="3849">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c r="A4" s="235" t="s">
        <v>1676</v>
      </c>
      <c r="B4" s="236"/>
      <c r="C4" s="4606" t="s">
        <v>1677</v>
      </c>
      <c r="D4" s="4607"/>
      <c r="E4" s="4608" t="s">
        <v>1678</v>
      </c>
      <c r="F4" s="4609"/>
      <c r="G4" s="4606" t="s">
        <v>1679</v>
      </c>
      <c r="H4" s="4607"/>
      <c r="I4" s="4606" t="s">
        <v>1680</v>
      </c>
      <c r="J4" s="4607"/>
      <c r="K4" s="393" t="s">
        <v>1681</v>
      </c>
      <c r="L4" s="592"/>
      <c r="M4" s="593"/>
      <c r="N4" s="593"/>
      <c r="O4" s="593"/>
      <c r="P4" s="4567" t="s">
        <v>1682</v>
      </c>
      <c r="Q4" s="4568"/>
      <c r="R4" s="4573" t="s">
        <v>1678</v>
      </c>
      <c r="S4" s="4574"/>
      <c r="T4" s="4573" t="s">
        <v>1679</v>
      </c>
      <c r="U4" s="4574"/>
      <c r="V4" s="4579" t="s">
        <v>1680</v>
      </c>
      <c r="W4" s="4579"/>
      <c r="X4" s="909"/>
      <c r="Y4" s="4588" t="s">
        <v>1682</v>
      </c>
      <c r="Z4" s="4589"/>
      <c r="AA4" s="4560" t="s">
        <v>1678</v>
      </c>
      <c r="AB4" s="4561" t="s">
        <v>1679</v>
      </c>
      <c r="AC4" s="4560" t="s">
        <v>1680</v>
      </c>
    </row>
    <row r="5" spans="1:29">
      <c r="A5" s="238"/>
      <c r="B5" s="239"/>
      <c r="C5" s="4657" t="s">
        <v>1580</v>
      </c>
      <c r="D5" s="4623"/>
      <c r="E5" s="4658" t="s">
        <v>1581</v>
      </c>
      <c r="F5" s="4659"/>
      <c r="G5" s="4657" t="s">
        <v>1582</v>
      </c>
      <c r="H5" s="4623"/>
      <c r="I5" s="4657" t="s">
        <v>1583</v>
      </c>
      <c r="J5" s="4623"/>
      <c r="K5" s="393"/>
      <c r="L5" s="592"/>
      <c r="M5" s="593"/>
      <c r="N5" s="593"/>
      <c r="O5" s="593"/>
      <c r="P5" s="4569"/>
      <c r="Q5" s="4570"/>
      <c r="R5" s="4575"/>
      <c r="S5" s="4576"/>
      <c r="T5" s="4575"/>
      <c r="U5" s="4576"/>
      <c r="V5" s="4579"/>
      <c r="W5" s="4579"/>
      <c r="X5" s="909"/>
      <c r="Y5" s="4590"/>
      <c r="Z5" s="4591"/>
      <c r="AA5" s="4561"/>
      <c r="AB5" s="4561"/>
      <c r="AC5" s="4561"/>
    </row>
    <row r="6" spans="1:29" ht="15" thickBot="1">
      <c r="A6" s="240"/>
      <c r="B6" s="241"/>
      <c r="C6" s="4624" t="s">
        <v>1584</v>
      </c>
      <c r="D6" s="4618"/>
      <c r="E6" s="4625" t="s">
        <v>1584</v>
      </c>
      <c r="F6" s="4626"/>
      <c r="G6" s="4624" t="s">
        <v>1584</v>
      </c>
      <c r="H6" s="4618"/>
      <c r="I6" s="4624" t="s">
        <v>1584</v>
      </c>
      <c r="J6" s="4618"/>
      <c r="K6" s="393" t="s">
        <v>1585</v>
      </c>
      <c r="L6" s="592"/>
      <c r="M6" s="593"/>
      <c r="N6" s="593"/>
      <c r="O6" s="593"/>
      <c r="P6" s="4571"/>
      <c r="Q6" s="4572"/>
      <c r="R6" s="4575"/>
      <c r="S6" s="4576"/>
      <c r="T6" s="4577"/>
      <c r="U6" s="4578"/>
      <c r="V6" s="4579"/>
      <c r="W6" s="4579"/>
      <c r="X6" s="909"/>
      <c r="Y6" s="4592"/>
      <c r="Z6" s="4593"/>
      <c r="AA6" s="4562"/>
      <c r="AB6" s="4562"/>
      <c r="AC6" s="4562"/>
    </row>
    <row r="7" spans="1:29" s="46" customFormat="1" ht="14.5" thickBot="1">
      <c r="A7" s="242" t="s">
        <v>1586</v>
      </c>
      <c r="B7" s="243"/>
      <c r="C7" s="244">
        <f>'数据-取费表'!B2</f>
        <v>46090</v>
      </c>
      <c r="D7" s="2898">
        <v>100</v>
      </c>
      <c r="E7" s="245"/>
      <c r="F7" s="3748">
        <f>SUMIF(52:52,YEAR(E7)&amp;"-"&amp;MONTH(E7),53:53)</f>
        <v>0</v>
      </c>
      <c r="G7" s="245"/>
      <c r="H7" s="3754">
        <f>SUMIF(52:52,YEAR(G7)&amp;"-"&amp;MONTH(G7),53:53)</f>
        <v>0</v>
      </c>
      <c r="I7" s="245"/>
      <c r="J7" s="3754">
        <f>SUMIF(52:52,YEAR(I7)&amp;"-"&amp;MONTH(I7),53:53)</f>
        <v>0</v>
      </c>
      <c r="K7" s="22"/>
      <c r="L7" s="594"/>
      <c r="M7" s="595"/>
      <c r="N7" s="595"/>
      <c r="O7" s="595"/>
      <c r="P7" s="4584" t="s">
        <v>1587</v>
      </c>
      <c r="Q7" s="4594"/>
      <c r="R7" s="3760" t="s">
        <v>13</v>
      </c>
      <c r="S7" s="3542">
        <f t="shared" ref="S7:S15" si="0">F7</f>
        <v>0</v>
      </c>
      <c r="T7" s="3760" t="s">
        <v>13</v>
      </c>
      <c r="U7" s="3542">
        <f t="shared" ref="U7:U15" si="1">H7</f>
        <v>0</v>
      </c>
      <c r="V7" s="3760" t="s">
        <v>13</v>
      </c>
      <c r="W7" s="3542">
        <f t="shared" ref="W7:W15" si="2">J7</f>
        <v>0</v>
      </c>
      <c r="X7" s="482"/>
      <c r="Y7" s="4586" t="s">
        <v>1587</v>
      </c>
      <c r="Z7" s="4587"/>
      <c r="AA7" s="28" t="e">
        <f>D7/F7</f>
        <v>#DIV/0!</v>
      </c>
      <c r="AB7" s="28" t="e">
        <f>D7/H7</f>
        <v>#DIV/0!</v>
      </c>
      <c r="AC7" s="28" t="e">
        <f>D7/J7</f>
        <v>#DIV/0!</v>
      </c>
    </row>
    <row r="8" spans="1:29" s="46" customFormat="1" ht="14.5" thickBot="1">
      <c r="A8" s="242" t="s">
        <v>1588</v>
      </c>
      <c r="B8" s="243"/>
      <c r="C8" s="246"/>
      <c r="D8" s="2898">
        <v>100</v>
      </c>
      <c r="E8" s="246"/>
      <c r="F8" s="3748">
        <f>SUMIF(55:55,E8,56:56)-SUMIF(55:55,C8,56:56)+100</f>
        <v>100</v>
      </c>
      <c r="G8" s="246"/>
      <c r="H8" s="3754">
        <f>SUMIF(55:55,G8,56:56)-SUMIF(55:55,C8,56:56)+100</f>
        <v>100</v>
      </c>
      <c r="I8" s="246"/>
      <c r="J8" s="3754">
        <f>SUMIF(55:55,I8,56:56)-SUMIF(55:55,C8,56:56)+100</f>
        <v>100</v>
      </c>
      <c r="K8" s="22"/>
      <c r="L8" s="594"/>
      <c r="M8" s="595"/>
      <c r="N8" s="595"/>
      <c r="O8" s="595"/>
      <c r="P8" s="4584" t="s">
        <v>1590</v>
      </c>
      <c r="Q8" s="4585"/>
      <c r="R8" s="3760" t="s">
        <v>13</v>
      </c>
      <c r="S8" s="3542">
        <f t="shared" si="0"/>
        <v>100</v>
      </c>
      <c r="T8" s="3760" t="s">
        <v>13</v>
      </c>
      <c r="U8" s="3542">
        <f t="shared" si="1"/>
        <v>100</v>
      </c>
      <c r="V8" s="3760" t="s">
        <v>13</v>
      </c>
      <c r="W8" s="3542">
        <f t="shared" si="2"/>
        <v>100</v>
      </c>
      <c r="X8" s="482"/>
      <c r="Y8" s="4586" t="s">
        <v>1590</v>
      </c>
      <c r="Z8" s="4587"/>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47" t="s">
        <v>1593</v>
      </c>
      <c r="Q9" s="1698" t="str">
        <f t="shared" ref="Q9:Q15" si="6">B9</f>
        <v>用途</v>
      </c>
      <c r="R9" s="3760" t="s">
        <v>13</v>
      </c>
      <c r="S9" s="3542">
        <f t="shared" si="0"/>
        <v>100</v>
      </c>
      <c r="T9" s="3760" t="s">
        <v>13</v>
      </c>
      <c r="U9" s="3542">
        <f t="shared" si="1"/>
        <v>100</v>
      </c>
      <c r="V9" s="3760" t="s">
        <v>13</v>
      </c>
      <c r="W9" s="3542">
        <f t="shared" si="2"/>
        <v>100</v>
      </c>
      <c r="X9" s="482"/>
      <c r="Y9" s="4559" t="s">
        <v>1594</v>
      </c>
      <c r="Z9" s="28" t="str">
        <f t="shared" ref="Z9:Z15" si="7">Q9</f>
        <v>用途</v>
      </c>
      <c r="AA9" s="28">
        <f t="shared" si="3"/>
        <v>1</v>
      </c>
      <c r="AB9" s="28">
        <f t="shared" si="4"/>
        <v>1</v>
      </c>
      <c r="AC9" s="28">
        <f t="shared" si="5"/>
        <v>1</v>
      </c>
    </row>
    <row r="10" spans="1:29" s="253" customFormat="1" ht="28">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47"/>
      <c r="Q10" s="1698" t="str">
        <f t="shared" si="6"/>
        <v>土地使用年限（年）</v>
      </c>
      <c r="R10" s="3760" t="s">
        <v>13</v>
      </c>
      <c r="S10" s="3542">
        <f t="shared" si="0"/>
        <v>100</v>
      </c>
      <c r="T10" s="3760" t="s">
        <v>13</v>
      </c>
      <c r="U10" s="3542">
        <f t="shared" si="1"/>
        <v>100</v>
      </c>
      <c r="V10" s="3760" t="s">
        <v>13</v>
      </c>
      <c r="W10" s="3542">
        <f t="shared" si="2"/>
        <v>100</v>
      </c>
      <c r="X10" s="482"/>
      <c r="Y10" s="4559"/>
      <c r="Z10" s="28" t="str">
        <f t="shared" si="7"/>
        <v>土地使用年限（年）</v>
      </c>
      <c r="AA10" s="28">
        <f t="shared" si="3"/>
        <v>1</v>
      </c>
      <c r="AB10" s="28">
        <f t="shared" si="4"/>
        <v>1</v>
      </c>
      <c r="AC10" s="28">
        <f t="shared" si="5"/>
        <v>1</v>
      </c>
    </row>
    <row r="11" spans="1:29" ht="15.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7"/>
      <c r="Q11" s="1698" t="str">
        <f t="shared" si="6"/>
        <v>容积率</v>
      </c>
      <c r="R11" s="3760" t="s">
        <v>13</v>
      </c>
      <c r="S11" s="3542">
        <f t="shared" si="0"/>
        <v>100</v>
      </c>
      <c r="T11" s="3760" t="s">
        <v>13</v>
      </c>
      <c r="U11" s="3542">
        <f t="shared" si="1"/>
        <v>100</v>
      </c>
      <c r="V11" s="3760" t="s">
        <v>13</v>
      </c>
      <c r="W11" s="3542">
        <f t="shared" si="2"/>
        <v>100</v>
      </c>
      <c r="X11" s="482"/>
      <c r="Y11" s="4559"/>
      <c r="Z11" s="28" t="str">
        <f t="shared" si="7"/>
        <v>容积率</v>
      </c>
      <c r="AA11" s="28">
        <f t="shared" si="3"/>
        <v>1</v>
      </c>
      <c r="AB11" s="28">
        <f t="shared" si="4"/>
        <v>1</v>
      </c>
      <c r="AC11" s="28">
        <f t="shared" si="5"/>
        <v>1</v>
      </c>
    </row>
    <row r="12" spans="1:29" s="46" customFormat="1" ht="15.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7"/>
      <c r="Q12" s="1698">
        <f t="shared" si="6"/>
        <v>111</v>
      </c>
      <c r="R12" s="3760" t="s">
        <v>13</v>
      </c>
      <c r="S12" s="3542">
        <f t="shared" si="0"/>
        <v>100</v>
      </c>
      <c r="T12" s="3760" t="s">
        <v>13</v>
      </c>
      <c r="U12" s="3542">
        <f t="shared" si="1"/>
        <v>100</v>
      </c>
      <c r="V12" s="3760" t="s">
        <v>13</v>
      </c>
      <c r="W12" s="3542">
        <f t="shared" si="2"/>
        <v>100</v>
      </c>
      <c r="X12" s="482"/>
      <c r="Y12" s="4559"/>
      <c r="Z12" s="28">
        <f t="shared" si="7"/>
        <v>111</v>
      </c>
      <c r="AA12" s="28">
        <f>D12/F12</f>
        <v>1</v>
      </c>
      <c r="AB12" s="28">
        <f>D12/H12</f>
        <v>1</v>
      </c>
      <c r="AC12" s="28">
        <f>D12/J12</f>
        <v>1</v>
      </c>
    </row>
    <row r="13" spans="1:29" ht="15.5">
      <c r="A13" s="254"/>
      <c r="B13" s="310">
        <v>111</v>
      </c>
      <c r="C13" s="259"/>
      <c r="D13" s="2902">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47"/>
      <c r="Q13" s="1698">
        <f t="shared" si="6"/>
        <v>111</v>
      </c>
      <c r="R13" s="3760" t="s">
        <v>13</v>
      </c>
      <c r="S13" s="3542">
        <f t="shared" si="0"/>
        <v>100</v>
      </c>
      <c r="T13" s="3760" t="s">
        <v>13</v>
      </c>
      <c r="U13" s="3542">
        <f t="shared" si="1"/>
        <v>100</v>
      </c>
      <c r="V13" s="3760" t="s">
        <v>13</v>
      </c>
      <c r="W13" s="3542">
        <f t="shared" si="2"/>
        <v>100</v>
      </c>
      <c r="X13" s="482"/>
      <c r="Y13" s="4559"/>
      <c r="Z13" s="28">
        <f t="shared" si="7"/>
        <v>111</v>
      </c>
      <c r="AA13" s="28">
        <f t="shared" si="3"/>
        <v>1</v>
      </c>
      <c r="AB13" s="28">
        <f t="shared" si="4"/>
        <v>1</v>
      </c>
      <c r="AC13" s="28">
        <f t="shared" si="5"/>
        <v>1</v>
      </c>
    </row>
    <row r="14" spans="1:29" ht="16" thickBot="1">
      <c r="A14" s="260"/>
      <c r="B14" s="1361">
        <v>111</v>
      </c>
      <c r="C14" s="261"/>
      <c r="D14" s="2903">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47"/>
      <c r="Q14" s="1698">
        <f t="shared" si="6"/>
        <v>111</v>
      </c>
      <c r="R14" s="3760" t="s">
        <v>13</v>
      </c>
      <c r="S14" s="3542">
        <f t="shared" si="0"/>
        <v>100</v>
      </c>
      <c r="T14" s="3760" t="s">
        <v>13</v>
      </c>
      <c r="U14" s="3542">
        <f t="shared" si="1"/>
        <v>100</v>
      </c>
      <c r="V14" s="3760" t="s">
        <v>13</v>
      </c>
      <c r="W14" s="3542">
        <f t="shared" si="2"/>
        <v>100</v>
      </c>
      <c r="X14" s="482"/>
      <c r="Y14" s="4559"/>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4">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652" t="s">
        <v>1598</v>
      </c>
      <c r="Q15" s="1507" t="str">
        <f t="shared" si="6"/>
        <v>产业集聚程度</v>
      </c>
      <c r="R15" s="3761" t="s">
        <v>13</v>
      </c>
      <c r="S15" s="3763">
        <f t="shared" si="0"/>
        <v>100</v>
      </c>
      <c r="T15" s="3761" t="s">
        <v>13</v>
      </c>
      <c r="U15" s="3763">
        <f t="shared" si="1"/>
        <v>100</v>
      </c>
      <c r="V15" s="3761" t="s">
        <v>13</v>
      </c>
      <c r="W15" s="3763">
        <f t="shared" si="2"/>
        <v>100</v>
      </c>
      <c r="X15" s="909"/>
      <c r="Y15" s="4549" t="s">
        <v>1598</v>
      </c>
      <c r="Z15" s="907" t="str">
        <f t="shared" si="7"/>
        <v>产业集聚程度</v>
      </c>
      <c r="AA15" s="907">
        <f t="shared" si="3"/>
        <v>1</v>
      </c>
      <c r="AB15" s="907">
        <f t="shared" si="4"/>
        <v>1</v>
      </c>
      <c r="AC15" s="907">
        <f t="shared" si="5"/>
        <v>1</v>
      </c>
    </row>
    <row r="16" spans="1:29" ht="15.5">
      <c r="A16" s="254"/>
      <c r="B16" s="265"/>
      <c r="C16" s="266"/>
      <c r="D16" s="2905"/>
      <c r="E16" s="266"/>
      <c r="F16" s="3757"/>
      <c r="G16" s="266"/>
      <c r="H16" s="268"/>
      <c r="I16" s="266"/>
      <c r="J16" s="267"/>
      <c r="K16" s="397"/>
      <c r="L16" s="602"/>
      <c r="M16" s="593"/>
      <c r="N16" s="593"/>
      <c r="O16" s="601"/>
      <c r="P16" s="4653"/>
      <c r="Q16" s="1507"/>
      <c r="R16" s="3761"/>
      <c r="S16" s="3763"/>
      <c r="T16" s="3761"/>
      <c r="U16" s="3763"/>
      <c r="V16" s="3761"/>
      <c r="W16" s="3763"/>
      <c r="X16" s="909"/>
      <c r="Y16" s="4550"/>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6">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653"/>
      <c r="Q17" s="1507" t="str">
        <f>B17</f>
        <v>交通便捷度</v>
      </c>
      <c r="R17" s="3761" t="s">
        <v>13</v>
      </c>
      <c r="S17" s="3763">
        <f>F17</f>
        <v>100</v>
      </c>
      <c r="T17" s="3761" t="s">
        <v>13</v>
      </c>
      <c r="U17" s="3763">
        <f>H17</f>
        <v>100</v>
      </c>
      <c r="V17" s="3761" t="s">
        <v>13</v>
      </c>
      <c r="W17" s="3763">
        <f>J17</f>
        <v>100</v>
      </c>
      <c r="X17" s="909"/>
      <c r="Y17" s="4550"/>
      <c r="Z17" s="907" t="str">
        <f>Q17</f>
        <v>交通便捷度</v>
      </c>
      <c r="AA17" s="907">
        <f t="shared" si="3"/>
        <v>1</v>
      </c>
      <c r="AB17" s="907">
        <f t="shared" si="4"/>
        <v>1</v>
      </c>
      <c r="AC17" s="907">
        <f t="shared" si="5"/>
        <v>1</v>
      </c>
    </row>
    <row r="18" spans="1:29" ht="15.5">
      <c r="A18" s="254"/>
      <c r="B18" s="272"/>
      <c r="C18" s="1365"/>
      <c r="D18" s="2906"/>
      <c r="E18" s="1367"/>
      <c r="F18" s="3758"/>
      <c r="G18" s="1366"/>
      <c r="H18" s="267"/>
      <c r="I18" s="1367"/>
      <c r="J18" s="267"/>
      <c r="K18" s="397"/>
      <c r="L18" s="602"/>
      <c r="M18" s="593"/>
      <c r="N18" s="593"/>
      <c r="O18" s="601"/>
      <c r="P18" s="4653"/>
      <c r="Q18" s="1507"/>
      <c r="R18" s="3761"/>
      <c r="S18" s="3763"/>
      <c r="T18" s="3761"/>
      <c r="U18" s="3763"/>
      <c r="V18" s="3761"/>
      <c r="W18" s="3763"/>
      <c r="X18" s="909"/>
      <c r="Y18" s="4550"/>
      <c r="Z18" s="907"/>
      <c r="AA18" s="907">
        <v>1</v>
      </c>
      <c r="AB18" s="907">
        <v>1</v>
      </c>
      <c r="AC18" s="907">
        <v>1</v>
      </c>
    </row>
    <row r="19" spans="1:29" ht="42">
      <c r="A19" s="254"/>
      <c r="B19" s="269" t="s">
        <v>1719</v>
      </c>
      <c r="C19" s="1364" t="str">
        <f>估价对象房地状况!G5</f>
        <v>估价对象所在区域公共配套设施齐备情况</v>
      </c>
      <c r="D19" s="2907">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653"/>
      <c r="Q19" s="1507" t="str">
        <f>B19</f>
        <v>公共配套设施</v>
      </c>
      <c r="R19" s="3761" t="s">
        <v>13</v>
      </c>
      <c r="S19" s="3763">
        <f>F19</f>
        <v>100</v>
      </c>
      <c r="T19" s="3761" t="s">
        <v>13</v>
      </c>
      <c r="U19" s="3763">
        <f>H19</f>
        <v>100</v>
      </c>
      <c r="V19" s="3761" t="s">
        <v>13</v>
      </c>
      <c r="W19" s="3763">
        <f>J19</f>
        <v>100</v>
      </c>
      <c r="X19" s="909"/>
      <c r="Y19" s="4550"/>
      <c r="Z19" s="907" t="str">
        <f>Q19</f>
        <v>公共配套设施</v>
      </c>
      <c r="AA19" s="907">
        <f t="shared" si="3"/>
        <v>1</v>
      </c>
      <c r="AB19" s="907">
        <f t="shared" si="4"/>
        <v>1</v>
      </c>
      <c r="AC19" s="907">
        <f t="shared" si="5"/>
        <v>1</v>
      </c>
    </row>
    <row r="20" spans="1:29" ht="15.5">
      <c r="A20" s="254"/>
      <c r="B20" s="272"/>
      <c r="C20" s="266"/>
      <c r="D20" s="2905"/>
      <c r="E20" s="1363"/>
      <c r="F20" s="3757"/>
      <c r="G20" s="1362"/>
      <c r="H20" s="267"/>
      <c r="I20" s="1363"/>
      <c r="J20" s="267"/>
      <c r="K20" s="397"/>
      <c r="L20" s="602"/>
      <c r="M20" s="593"/>
      <c r="N20" s="593"/>
      <c r="O20" s="601"/>
      <c r="P20" s="4653"/>
      <c r="Q20" s="1507"/>
      <c r="R20" s="3761"/>
      <c r="S20" s="3763"/>
      <c r="T20" s="3761"/>
      <c r="U20" s="3763"/>
      <c r="V20" s="3761"/>
      <c r="W20" s="3763"/>
      <c r="X20" s="909"/>
      <c r="Y20" s="4550"/>
      <c r="Z20" s="907"/>
      <c r="AA20" s="907">
        <v>1</v>
      </c>
      <c r="AB20" s="907">
        <v>1</v>
      </c>
      <c r="AC20" s="907">
        <v>1</v>
      </c>
    </row>
    <row r="21" spans="1:29" ht="42">
      <c r="A21" s="254"/>
      <c r="B21" s="759" t="s">
        <v>1720</v>
      </c>
      <c r="C21" s="1364" t="str">
        <f>估价对象房地状况!G6</f>
        <v>估价对象所在区域基础设施水平</v>
      </c>
      <c r="D21" s="2906">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653"/>
      <c r="Q21" s="1507" t="str">
        <f>B21</f>
        <v>基础设施水平</v>
      </c>
      <c r="R21" s="3761" t="s">
        <v>13</v>
      </c>
      <c r="S21" s="3763">
        <f>F21</f>
        <v>100</v>
      </c>
      <c r="T21" s="3761" t="s">
        <v>13</v>
      </c>
      <c r="U21" s="3763">
        <f>H21</f>
        <v>100</v>
      </c>
      <c r="V21" s="3761" t="s">
        <v>13</v>
      </c>
      <c r="W21" s="3763">
        <f>J21</f>
        <v>100</v>
      </c>
      <c r="X21" s="909"/>
      <c r="Y21" s="4550"/>
      <c r="Z21" s="907" t="str">
        <f>Q21</f>
        <v>基础设施水平</v>
      </c>
      <c r="AA21" s="907">
        <f t="shared" ref="AA21" si="8">D21/F21</f>
        <v>1</v>
      </c>
      <c r="AB21" s="907">
        <f t="shared" ref="AB21" si="9">D21/H21</f>
        <v>1</v>
      </c>
      <c r="AC21" s="907">
        <f t="shared" ref="AC21" si="10">D21/J21</f>
        <v>1</v>
      </c>
    </row>
    <row r="22" spans="1:29" ht="15.5">
      <c r="A22" s="254"/>
      <c r="B22" s="759"/>
      <c r="C22" s="1365"/>
      <c r="D22" s="2905"/>
      <c r="E22" s="266"/>
      <c r="F22" s="3757"/>
      <c r="G22" s="266"/>
      <c r="H22" s="267"/>
      <c r="I22" s="266"/>
      <c r="J22" s="267"/>
      <c r="K22" s="758"/>
      <c r="L22" s="602"/>
      <c r="M22" s="593"/>
      <c r="N22" s="593"/>
      <c r="O22" s="601"/>
      <c r="P22" s="4653"/>
      <c r="Q22" s="1507"/>
      <c r="R22" s="3761"/>
      <c r="S22" s="3763"/>
      <c r="T22" s="3761"/>
      <c r="U22" s="3763"/>
      <c r="V22" s="3761"/>
      <c r="W22" s="3763"/>
      <c r="X22" s="909"/>
      <c r="Y22" s="4550"/>
      <c r="Z22" s="907"/>
      <c r="AA22" s="907">
        <v>1</v>
      </c>
      <c r="AB22" s="907">
        <v>1</v>
      </c>
      <c r="AC22" s="907">
        <v>1</v>
      </c>
    </row>
    <row r="23" spans="1:29" ht="84">
      <c r="A23" s="254"/>
      <c r="B23" s="269" t="s">
        <v>1721</v>
      </c>
      <c r="C23" s="1364" t="str">
        <f>估价对象房地状况!G7</f>
        <v>该园区内是否有污染型企业，绿化情况，卫生条件，整体环境状况判断</v>
      </c>
      <c r="D23" s="2906">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653"/>
      <c r="Q23" s="1507" t="str">
        <f>B23</f>
        <v>环境质量</v>
      </c>
      <c r="R23" s="3761" t="s">
        <v>13</v>
      </c>
      <c r="S23" s="3763">
        <f>F23</f>
        <v>100</v>
      </c>
      <c r="T23" s="3761" t="s">
        <v>13</v>
      </c>
      <c r="U23" s="3763">
        <f>H23</f>
        <v>100</v>
      </c>
      <c r="V23" s="3761" t="s">
        <v>13</v>
      </c>
      <c r="W23" s="3763">
        <f>J23</f>
        <v>100</v>
      </c>
      <c r="X23" s="909"/>
      <c r="Y23" s="4550"/>
      <c r="Z23" s="907" t="str">
        <f>Q23</f>
        <v>环境质量</v>
      </c>
      <c r="AA23" s="907">
        <f t="shared" si="3"/>
        <v>1</v>
      </c>
      <c r="AB23" s="907">
        <f t="shared" si="4"/>
        <v>1</v>
      </c>
      <c r="AC23" s="907">
        <f t="shared" si="5"/>
        <v>1</v>
      </c>
    </row>
    <row r="24" spans="1:29" ht="15.5">
      <c r="A24" s="254"/>
      <c r="B24" s="759"/>
      <c r="C24" s="266"/>
      <c r="D24" s="2905"/>
      <c r="E24" s="1363"/>
      <c r="F24" s="3757"/>
      <c r="G24" s="1362"/>
      <c r="H24" s="267"/>
      <c r="I24" s="1363"/>
      <c r="J24" s="267"/>
      <c r="K24" s="397"/>
      <c r="L24" s="602"/>
      <c r="M24" s="593"/>
      <c r="N24" s="593"/>
      <c r="O24" s="601"/>
      <c r="P24" s="4653"/>
      <c r="Q24" s="1507"/>
      <c r="R24" s="3761"/>
      <c r="S24" s="3763"/>
      <c r="T24" s="3761"/>
      <c r="U24" s="3763"/>
      <c r="V24" s="3761"/>
      <c r="W24" s="3763"/>
      <c r="X24" s="909"/>
      <c r="Y24" s="4550"/>
      <c r="Z24" s="907"/>
      <c r="AA24" s="907">
        <v>1</v>
      </c>
      <c r="AB24" s="907">
        <v>1</v>
      </c>
      <c r="AC24" s="907">
        <v>1</v>
      </c>
    </row>
    <row r="25" spans="1:29" ht="15.5">
      <c r="A25" s="238"/>
      <c r="B25" s="761">
        <v>111</v>
      </c>
      <c r="C25" s="259">
        <v>111</v>
      </c>
      <c r="D25" s="2902">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653"/>
      <c r="Q25" s="1507">
        <f>B25</f>
        <v>111</v>
      </c>
      <c r="R25" s="3761" t="s">
        <v>13</v>
      </c>
      <c r="S25" s="3763">
        <f>F25</f>
        <v>100</v>
      </c>
      <c r="T25" s="3761" t="s">
        <v>13</v>
      </c>
      <c r="U25" s="3763">
        <f>H25</f>
        <v>100</v>
      </c>
      <c r="V25" s="3761" t="s">
        <v>13</v>
      </c>
      <c r="W25" s="3763">
        <f>J25</f>
        <v>100</v>
      </c>
      <c r="X25" s="909"/>
      <c r="Y25" s="4550"/>
      <c r="Z25" s="907">
        <f>Q25</f>
        <v>111</v>
      </c>
      <c r="AA25" s="907">
        <f t="shared" si="3"/>
        <v>1</v>
      </c>
      <c r="AB25" s="907">
        <f t="shared" si="4"/>
        <v>1</v>
      </c>
      <c r="AC25" s="907">
        <f t="shared" si="5"/>
        <v>1</v>
      </c>
    </row>
    <row r="26" spans="1:29" ht="15.5">
      <c r="A26" s="254"/>
      <c r="B26" s="761">
        <v>111</v>
      </c>
      <c r="C26" s="259">
        <v>111</v>
      </c>
      <c r="D26" s="2902">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653"/>
      <c r="Q26" s="1507">
        <f t="shared" ref="Q26:Q40" si="11">B26</f>
        <v>111</v>
      </c>
      <c r="R26" s="3761" t="s">
        <v>13</v>
      </c>
      <c r="S26" s="3763">
        <f>F26</f>
        <v>100</v>
      </c>
      <c r="T26" s="3761" t="s">
        <v>13</v>
      </c>
      <c r="U26" s="3763">
        <f>H26</f>
        <v>100</v>
      </c>
      <c r="V26" s="3761" t="s">
        <v>13</v>
      </c>
      <c r="W26" s="3763">
        <f>J26</f>
        <v>100</v>
      </c>
      <c r="X26" s="909"/>
      <c r="Y26" s="4550"/>
      <c r="Z26" s="907">
        <f>Q26</f>
        <v>111</v>
      </c>
      <c r="AA26" s="907">
        <f t="shared" si="3"/>
        <v>1</v>
      </c>
      <c r="AB26" s="907">
        <f t="shared" si="4"/>
        <v>1</v>
      </c>
      <c r="AC26" s="907">
        <f t="shared" si="5"/>
        <v>1</v>
      </c>
    </row>
    <row r="27" spans="1:29" s="46" customFormat="1" ht="15.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53"/>
      <c r="Q27" s="1698">
        <f t="shared" si="11"/>
        <v>111</v>
      </c>
      <c r="R27" s="3760" t="s">
        <v>13</v>
      </c>
      <c r="S27" s="3542">
        <f>F27</f>
        <v>100</v>
      </c>
      <c r="T27" s="3760" t="s">
        <v>13</v>
      </c>
      <c r="U27" s="3542">
        <f>H27</f>
        <v>100</v>
      </c>
      <c r="V27" s="3760" t="s">
        <v>13</v>
      </c>
      <c r="W27" s="3542">
        <f>J27</f>
        <v>100</v>
      </c>
      <c r="X27" s="482"/>
      <c r="Y27" s="4550"/>
      <c r="Z27" s="28">
        <f>Q27</f>
        <v>111</v>
      </c>
      <c r="AA27" s="907">
        <f>D27/F27</f>
        <v>1</v>
      </c>
      <c r="AB27" s="907">
        <f>D27/H27</f>
        <v>1</v>
      </c>
      <c r="AC27" s="907">
        <f>D27/J27</f>
        <v>1</v>
      </c>
    </row>
    <row r="28" spans="1:29" ht="16" thickBot="1">
      <c r="A28" s="260"/>
      <c r="B28" s="761">
        <v>111</v>
      </c>
      <c r="C28" s="261">
        <v>111</v>
      </c>
      <c r="D28" s="2903">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653"/>
      <c r="Q28" s="1507">
        <f t="shared" si="11"/>
        <v>111</v>
      </c>
      <c r="R28" s="3761" t="s">
        <v>13</v>
      </c>
      <c r="S28" s="3763">
        <f t="shared" ref="S28:S40" si="12">F28</f>
        <v>100</v>
      </c>
      <c r="T28" s="3761" t="s">
        <v>13</v>
      </c>
      <c r="U28" s="3763">
        <f t="shared" ref="U28:U40" si="13">H28</f>
        <v>100</v>
      </c>
      <c r="V28" s="3761" t="s">
        <v>13</v>
      </c>
      <c r="W28" s="3763">
        <f t="shared" ref="W28:W40" si="14">J28</f>
        <v>100</v>
      </c>
      <c r="X28" s="909"/>
      <c r="Y28" s="4550"/>
      <c r="Z28" s="907">
        <f t="shared" ref="Z28:Z40" si="15">Q28</f>
        <v>111</v>
      </c>
      <c r="AA28" s="907">
        <f t="shared" si="3"/>
        <v>1</v>
      </c>
      <c r="AB28" s="907">
        <f t="shared" si="4"/>
        <v>1</v>
      </c>
      <c r="AC28" s="907">
        <f t="shared" si="5"/>
        <v>1</v>
      </c>
    </row>
    <row r="29" spans="1:29" ht="29">
      <c r="A29" s="276" t="s">
        <v>1601</v>
      </c>
      <c r="B29" s="34" t="s">
        <v>1724</v>
      </c>
      <c r="C29" s="1420"/>
      <c r="D29" s="2909">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654" t="s">
        <v>1603</v>
      </c>
      <c r="Q29" s="1507" t="str">
        <f t="shared" si="11"/>
        <v>建筑类型</v>
      </c>
      <c r="R29" s="3761" t="s">
        <v>13</v>
      </c>
      <c r="S29" s="3763">
        <f t="shared" si="12"/>
        <v>100</v>
      </c>
      <c r="T29" s="3761" t="s">
        <v>13</v>
      </c>
      <c r="U29" s="3763">
        <f t="shared" si="13"/>
        <v>100</v>
      </c>
      <c r="V29" s="3761" t="s">
        <v>13</v>
      </c>
      <c r="W29" s="3763">
        <f t="shared" si="14"/>
        <v>100</v>
      </c>
      <c r="X29" s="909"/>
      <c r="Y29" s="4554" t="s">
        <v>1603</v>
      </c>
      <c r="Z29" s="907" t="str">
        <f t="shared" si="15"/>
        <v>建筑类型</v>
      </c>
      <c r="AA29" s="907">
        <f t="shared" si="3"/>
        <v>1</v>
      </c>
      <c r="AB29" s="907">
        <f t="shared" si="4"/>
        <v>1</v>
      </c>
      <c r="AC29" s="907">
        <f t="shared" si="5"/>
        <v>1</v>
      </c>
    </row>
    <row r="30" spans="1:29" s="279" customFormat="1" ht="15.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55"/>
      <c r="Q30" s="2864" t="str">
        <f t="shared" si="11"/>
        <v>项目建筑规模</v>
      </c>
      <c r="R30" s="3762" t="s">
        <v>13</v>
      </c>
      <c r="S30" s="3764" t="e">
        <f t="shared" si="12"/>
        <v>#N/A</v>
      </c>
      <c r="T30" s="3762" t="s">
        <v>13</v>
      </c>
      <c r="U30" s="3764" t="e">
        <f t="shared" si="13"/>
        <v>#N/A</v>
      </c>
      <c r="V30" s="3762" t="s">
        <v>13</v>
      </c>
      <c r="W30" s="3764" t="e">
        <f t="shared" si="14"/>
        <v>#N/A</v>
      </c>
      <c r="X30" s="484"/>
      <c r="Y30" s="4554"/>
      <c r="Z30" s="485" t="str">
        <f t="shared" si="15"/>
        <v>项目建筑规模</v>
      </c>
      <c r="AA30" s="907" t="e">
        <f t="shared" si="3"/>
        <v>#N/A</v>
      </c>
      <c r="AB30" s="907" t="e">
        <f t="shared" si="4"/>
        <v>#N/A</v>
      </c>
      <c r="AC30" s="907" t="e">
        <f t="shared" si="5"/>
        <v>#N/A</v>
      </c>
    </row>
    <row r="31" spans="1:29" ht="15.5">
      <c r="A31" s="280"/>
      <c r="B31" s="252" t="s">
        <v>1605</v>
      </c>
      <c r="C31" s="275"/>
      <c r="D31" s="2902">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655"/>
      <c r="Q31" s="1507" t="str">
        <f t="shared" si="11"/>
        <v>建筑结构</v>
      </c>
      <c r="R31" s="3761" t="s">
        <v>13</v>
      </c>
      <c r="S31" s="3763">
        <f t="shared" si="12"/>
        <v>100</v>
      </c>
      <c r="T31" s="3761" t="s">
        <v>13</v>
      </c>
      <c r="U31" s="3763">
        <f t="shared" si="13"/>
        <v>100</v>
      </c>
      <c r="V31" s="3761" t="s">
        <v>13</v>
      </c>
      <c r="W31" s="3763">
        <f t="shared" si="14"/>
        <v>100</v>
      </c>
      <c r="X31" s="909"/>
      <c r="Y31" s="4554"/>
      <c r="Z31" s="907" t="str">
        <f t="shared" si="15"/>
        <v>建筑结构</v>
      </c>
      <c r="AA31" s="907">
        <f t="shared" si="3"/>
        <v>1</v>
      </c>
      <c r="AB31" s="907">
        <f t="shared" si="4"/>
        <v>1</v>
      </c>
      <c r="AC31" s="907">
        <f t="shared" si="5"/>
        <v>1</v>
      </c>
    </row>
    <row r="32" spans="1:29" ht="15.5">
      <c r="A32" s="280"/>
      <c r="B32" s="252" t="s">
        <v>1692</v>
      </c>
      <c r="C32" s="275"/>
      <c r="D32" s="2902">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655"/>
      <c r="Q32" s="1507" t="str">
        <f t="shared" si="11"/>
        <v>公共部分装修</v>
      </c>
      <c r="R32" s="3761" t="s">
        <v>13</v>
      </c>
      <c r="S32" s="3763">
        <f t="shared" si="12"/>
        <v>100</v>
      </c>
      <c r="T32" s="3761" t="s">
        <v>13</v>
      </c>
      <c r="U32" s="3763">
        <f t="shared" si="13"/>
        <v>100</v>
      </c>
      <c r="V32" s="3761" t="s">
        <v>13</v>
      </c>
      <c r="W32" s="3763">
        <f t="shared" si="14"/>
        <v>100</v>
      </c>
      <c r="X32" s="909"/>
      <c r="Y32" s="4554"/>
      <c r="Z32" s="907" t="str">
        <f t="shared" si="15"/>
        <v>公共部分装修</v>
      </c>
      <c r="AA32" s="907">
        <f t="shared" si="3"/>
        <v>1</v>
      </c>
      <c r="AB32" s="907">
        <f t="shared" si="4"/>
        <v>1</v>
      </c>
      <c r="AC32" s="907">
        <f t="shared" si="5"/>
        <v>1</v>
      </c>
    </row>
    <row r="33" spans="1:29" ht="15.5">
      <c r="A33" s="280"/>
      <c r="B33" s="252" t="s">
        <v>1693</v>
      </c>
      <c r="C33" s="278"/>
      <c r="D33" s="2902">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655"/>
      <c r="Q33" s="1507" t="str">
        <f t="shared" si="11"/>
        <v>成新度</v>
      </c>
      <c r="R33" s="3761" t="s">
        <v>13</v>
      </c>
      <c r="S33" s="3763" t="e">
        <f t="shared" si="12"/>
        <v>#N/A</v>
      </c>
      <c r="T33" s="3761" t="s">
        <v>13</v>
      </c>
      <c r="U33" s="3763" t="e">
        <f t="shared" si="13"/>
        <v>#N/A</v>
      </c>
      <c r="V33" s="3761" t="s">
        <v>13</v>
      </c>
      <c r="W33" s="3763" t="e">
        <f t="shared" si="14"/>
        <v>#N/A</v>
      </c>
      <c r="X33" s="909"/>
      <c r="Y33" s="4554"/>
      <c r="Z33" s="907" t="str">
        <f t="shared" si="15"/>
        <v>成新度</v>
      </c>
      <c r="AA33" s="907" t="e">
        <f t="shared" si="3"/>
        <v>#N/A</v>
      </c>
      <c r="AB33" s="907" t="e">
        <f t="shared" si="4"/>
        <v>#N/A</v>
      </c>
      <c r="AC33" s="907" t="e">
        <f t="shared" si="5"/>
        <v>#N/A</v>
      </c>
    </row>
    <row r="34" spans="1:29" s="46" customFormat="1" ht="15.5">
      <c r="A34" s="281"/>
      <c r="B34" s="252" t="s">
        <v>1726</v>
      </c>
      <c r="C34" s="275"/>
      <c r="D34" s="2900">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655"/>
      <c r="Q34" s="1698" t="str">
        <f t="shared" si="11"/>
        <v>物业管理</v>
      </c>
      <c r="R34" s="3760" t="s">
        <v>13</v>
      </c>
      <c r="S34" s="3542">
        <f t="shared" si="12"/>
        <v>100</v>
      </c>
      <c r="T34" s="3760" t="s">
        <v>13</v>
      </c>
      <c r="U34" s="3542">
        <f t="shared" si="13"/>
        <v>100</v>
      </c>
      <c r="V34" s="3760" t="s">
        <v>13</v>
      </c>
      <c r="W34" s="3542">
        <f t="shared" si="14"/>
        <v>100</v>
      </c>
      <c r="X34" s="482"/>
      <c r="Y34" s="4554"/>
      <c r="Z34" s="28" t="str">
        <f t="shared" si="15"/>
        <v>物业管理</v>
      </c>
      <c r="AA34" s="28">
        <f t="shared" si="3"/>
        <v>1</v>
      </c>
      <c r="AB34" s="28">
        <f t="shared" si="4"/>
        <v>1</v>
      </c>
      <c r="AC34" s="28">
        <f t="shared" si="5"/>
        <v>1</v>
      </c>
    </row>
    <row r="35" spans="1:29" ht="15.5">
      <c r="A35" s="280"/>
      <c r="B35" s="252" t="s">
        <v>1694</v>
      </c>
      <c r="C35" s="275"/>
      <c r="D35" s="2902">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655" t="s">
        <v>1603</v>
      </c>
      <c r="Q35" s="1507" t="str">
        <f t="shared" si="11"/>
        <v>市政基础设施</v>
      </c>
      <c r="R35" s="3761" t="s">
        <v>13</v>
      </c>
      <c r="S35" s="3763">
        <f t="shared" si="12"/>
        <v>100</v>
      </c>
      <c r="T35" s="3761" t="s">
        <v>13</v>
      </c>
      <c r="U35" s="3763">
        <f t="shared" si="13"/>
        <v>100</v>
      </c>
      <c r="V35" s="3761" t="s">
        <v>13</v>
      </c>
      <c r="W35" s="3763">
        <f t="shared" si="14"/>
        <v>100</v>
      </c>
      <c r="X35" s="909"/>
      <c r="Y35" s="4554" t="s">
        <v>1603</v>
      </c>
      <c r="Z35" s="907" t="str">
        <f t="shared" si="15"/>
        <v>市政基础设施</v>
      </c>
      <c r="AA35" s="907">
        <f t="shared" si="3"/>
        <v>1</v>
      </c>
      <c r="AB35" s="907">
        <f t="shared" si="4"/>
        <v>1</v>
      </c>
      <c r="AC35" s="907">
        <f t="shared" si="5"/>
        <v>1</v>
      </c>
    </row>
    <row r="36" spans="1:29" ht="15.5">
      <c r="A36" s="280"/>
      <c r="B36" s="252" t="s">
        <v>1699</v>
      </c>
      <c r="C36" s="275"/>
      <c r="D36" s="2902">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655"/>
      <c r="Q36" s="1507" t="str">
        <f t="shared" si="11"/>
        <v>内部装修</v>
      </c>
      <c r="R36" s="3761" t="s">
        <v>13</v>
      </c>
      <c r="S36" s="3763">
        <f t="shared" si="12"/>
        <v>100</v>
      </c>
      <c r="T36" s="3761" t="s">
        <v>13</v>
      </c>
      <c r="U36" s="3763">
        <f t="shared" si="13"/>
        <v>100</v>
      </c>
      <c r="V36" s="3761" t="s">
        <v>13</v>
      </c>
      <c r="W36" s="3763">
        <f t="shared" si="14"/>
        <v>100</v>
      </c>
      <c r="X36" s="909"/>
      <c r="Y36" s="4554"/>
      <c r="Z36" s="907" t="str">
        <f t="shared" si="15"/>
        <v>内部装修</v>
      </c>
      <c r="AA36" s="907">
        <f t="shared" si="3"/>
        <v>1</v>
      </c>
      <c r="AB36" s="907">
        <f t="shared" si="4"/>
        <v>1</v>
      </c>
      <c r="AC36" s="907">
        <f t="shared" si="5"/>
        <v>1</v>
      </c>
    </row>
    <row r="37" spans="1:29" ht="15.5">
      <c r="A37" s="280"/>
      <c r="B37" s="252" t="s">
        <v>1735</v>
      </c>
      <c r="C37" s="398"/>
      <c r="D37" s="2902">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655"/>
      <c r="Q37" s="1507" t="str">
        <f t="shared" si="11"/>
        <v>内部装修状况</v>
      </c>
      <c r="R37" s="3761" t="s">
        <v>13</v>
      </c>
      <c r="S37" s="3763">
        <f t="shared" si="12"/>
        <v>100</v>
      </c>
      <c r="T37" s="3761" t="s">
        <v>13</v>
      </c>
      <c r="U37" s="3763">
        <f t="shared" si="13"/>
        <v>100</v>
      </c>
      <c r="V37" s="3761" t="s">
        <v>13</v>
      </c>
      <c r="W37" s="3763">
        <f t="shared" si="14"/>
        <v>100</v>
      </c>
      <c r="X37" s="909"/>
      <c r="Y37" s="4554"/>
      <c r="Z37" s="907" t="str">
        <f t="shared" si="15"/>
        <v>内部装修状况</v>
      </c>
      <c r="AA37" s="907">
        <f t="shared" si="3"/>
        <v>1</v>
      </c>
      <c r="AB37" s="907">
        <f t="shared" si="4"/>
        <v>1</v>
      </c>
      <c r="AC37" s="907">
        <f t="shared" si="5"/>
        <v>1</v>
      </c>
    </row>
    <row r="38" spans="1:29" s="279" customFormat="1" ht="15.5">
      <c r="A38" s="277"/>
      <c r="B38" s="761">
        <v>111</v>
      </c>
      <c r="C38" s="278"/>
      <c r="D38" s="2902">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655"/>
      <c r="Q38" s="2864">
        <f t="shared" si="11"/>
        <v>111</v>
      </c>
      <c r="R38" s="3762" t="s">
        <v>13</v>
      </c>
      <c r="S38" s="3764">
        <f t="shared" si="12"/>
        <v>100</v>
      </c>
      <c r="T38" s="3762" t="s">
        <v>13</v>
      </c>
      <c r="U38" s="3764">
        <f t="shared" si="13"/>
        <v>100</v>
      </c>
      <c r="V38" s="3762" t="s">
        <v>13</v>
      </c>
      <c r="W38" s="3764">
        <f t="shared" si="14"/>
        <v>100</v>
      </c>
      <c r="X38" s="484"/>
      <c r="Y38" s="4554"/>
      <c r="Z38" s="485">
        <f t="shared" si="15"/>
        <v>111</v>
      </c>
      <c r="AA38" s="907">
        <f t="shared" si="3"/>
        <v>1</v>
      </c>
      <c r="AB38" s="907">
        <f t="shared" si="4"/>
        <v>1</v>
      </c>
      <c r="AC38" s="907">
        <f t="shared" si="5"/>
        <v>1</v>
      </c>
    </row>
    <row r="39" spans="1:29" ht="15.5">
      <c r="A39" s="280"/>
      <c r="B39" s="761">
        <v>111</v>
      </c>
      <c r="C39" s="278"/>
      <c r="D39" s="2902">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655"/>
      <c r="Q39" s="1507">
        <f t="shared" si="11"/>
        <v>111</v>
      </c>
      <c r="R39" s="3761" t="s">
        <v>13</v>
      </c>
      <c r="S39" s="3763">
        <f t="shared" si="12"/>
        <v>100</v>
      </c>
      <c r="T39" s="3761" t="s">
        <v>13</v>
      </c>
      <c r="U39" s="3763">
        <f t="shared" si="13"/>
        <v>100</v>
      </c>
      <c r="V39" s="3761" t="s">
        <v>13</v>
      </c>
      <c r="W39" s="3763">
        <f t="shared" si="14"/>
        <v>100</v>
      </c>
      <c r="X39" s="909"/>
      <c r="Y39" s="4554"/>
      <c r="Z39" s="907">
        <f t="shared" si="15"/>
        <v>111</v>
      </c>
      <c r="AA39" s="907">
        <f t="shared" si="3"/>
        <v>1</v>
      </c>
      <c r="AB39" s="907">
        <f t="shared" si="4"/>
        <v>1</v>
      </c>
      <c r="AC39" s="907">
        <f t="shared" si="5"/>
        <v>1</v>
      </c>
    </row>
    <row r="40" spans="1:29" ht="16" thickBot="1">
      <c r="A40" s="285"/>
      <c r="B40" s="1361">
        <v>111</v>
      </c>
      <c r="C40" s="261"/>
      <c r="D40" s="2903">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656"/>
      <c r="Q40" s="1507">
        <f t="shared" si="11"/>
        <v>111</v>
      </c>
      <c r="R40" s="3761" t="s">
        <v>13</v>
      </c>
      <c r="S40" s="3763">
        <f t="shared" si="12"/>
        <v>100</v>
      </c>
      <c r="T40" s="3761" t="s">
        <v>13</v>
      </c>
      <c r="U40" s="3763">
        <f t="shared" si="13"/>
        <v>100</v>
      </c>
      <c r="V40" s="3761" t="s">
        <v>13</v>
      </c>
      <c r="W40" s="3763">
        <f t="shared" si="14"/>
        <v>100</v>
      </c>
      <c r="X40" s="909"/>
      <c r="Y40" s="4555"/>
      <c r="Z40" s="907">
        <f t="shared" si="15"/>
        <v>111</v>
      </c>
      <c r="AA40" s="907">
        <f t="shared" si="3"/>
        <v>1</v>
      </c>
      <c r="AB40" s="907">
        <f t="shared" si="4"/>
        <v>1</v>
      </c>
      <c r="AC40" s="907">
        <f t="shared" si="5"/>
        <v>1</v>
      </c>
    </row>
    <row r="41" spans="1:29">
      <c r="A41" s="286" t="s">
        <v>1615</v>
      </c>
      <c r="B41" s="287"/>
      <c r="C41" s="765" t="s">
        <v>0</v>
      </c>
      <c r="D41" s="288"/>
      <c r="E41" s="3205"/>
      <c r="F41" s="3153"/>
      <c r="G41" s="3206"/>
      <c r="H41" s="3154"/>
      <c r="I41" s="3205"/>
      <c r="J41" s="3154"/>
      <c r="K41" s="2862"/>
      <c r="L41" s="605"/>
      <c r="M41" s="593"/>
      <c r="N41" s="593"/>
      <c r="O41" s="593"/>
      <c r="P41" s="4547" t="str">
        <f>A41</f>
        <v>成交单价（元/平方米）</v>
      </c>
      <c r="Q41" s="4547"/>
      <c r="R41" s="4548">
        <f>E41</f>
        <v>0</v>
      </c>
      <c r="S41" s="4548"/>
      <c r="T41" s="4548">
        <f>G41</f>
        <v>0</v>
      </c>
      <c r="U41" s="4548"/>
      <c r="V41" s="4548">
        <f>I41</f>
        <v>0</v>
      </c>
      <c r="W41" s="4548"/>
      <c r="X41" s="265"/>
      <c r="Y41" s="486"/>
      <c r="Z41" s="265"/>
      <c r="AA41" s="265"/>
      <c r="AB41" s="265"/>
      <c r="AC41" s="265"/>
    </row>
    <row r="42" spans="1:29" ht="14.5" thickBot="1">
      <c r="A42" s="289" t="s">
        <v>1700</v>
      </c>
      <c r="B42" s="290"/>
      <c r="C42" s="3734" t="e">
        <f>R43</f>
        <v>#DIV/0!</v>
      </c>
      <c r="D42" s="3847" t="s">
        <v>2042</v>
      </c>
      <c r="E42" s="2885" t="e">
        <f>R42</f>
        <v>#DIV/0!</v>
      </c>
      <c r="F42" s="2801"/>
      <c r="G42" s="2884" t="e">
        <f>T42</f>
        <v>#DIV/0!</v>
      </c>
      <c r="H42" s="2801"/>
      <c r="I42" s="2885" t="e">
        <f>V42</f>
        <v>#DIV/0!</v>
      </c>
      <c r="J42" s="2801"/>
      <c r="K42" s="2855">
        <f>F42+H42+J42</f>
        <v>0</v>
      </c>
      <c r="L42" s="605"/>
      <c r="M42" s="593"/>
      <c r="N42" s="593"/>
      <c r="O42" s="593"/>
      <c r="P42" s="4547" t="str">
        <f>A42</f>
        <v>比较价值（元/平方米）</v>
      </c>
      <c r="Q42" s="4547"/>
      <c r="R42" s="4548" t="e">
        <f>IF(F1="售价",ROUND(PRODUCT(R41,AA7:AA40),0),ROUND(PRODUCT(R41,AA7:AA40),1))</f>
        <v>#DIV/0!</v>
      </c>
      <c r="S42" s="4548"/>
      <c r="T42" s="4548" t="e">
        <f>IF(F1="售价",ROUND(PRODUCT(T41,AB7:AB40),0),ROUND(PRODUCT(T41,AB7:AB40),1))</f>
        <v>#DIV/0!</v>
      </c>
      <c r="U42" s="4548"/>
      <c r="V42" s="4548" t="e">
        <f>IF(F1="售价",ROUND(PRODUCT(V41,AC7:AC40),0),ROUND(PRODUCT(V41,AC7:AC40),1))</f>
        <v>#DIV/0!</v>
      </c>
      <c r="W42" s="4548"/>
      <c r="X42" s="265"/>
      <c r="Y42" s="265"/>
      <c r="Z42" s="265"/>
      <c r="AA42" s="265"/>
      <c r="AB42" s="265"/>
      <c r="AC42" s="265"/>
    </row>
    <row r="43" spans="1:29" ht="14.5" thickBot="1">
      <c r="A43" s="291" t="s">
        <v>1701</v>
      </c>
      <c r="B43" s="292"/>
      <c r="C43" s="3746" t="e">
        <f>R43</f>
        <v>#DIV/0!</v>
      </c>
      <c r="D43" s="241"/>
      <c r="E43" s="241"/>
      <c r="F43" s="241"/>
      <c r="G43" s="241"/>
      <c r="H43" s="241"/>
      <c r="I43" s="241"/>
      <c r="J43" s="241"/>
      <c r="K43" s="487"/>
      <c r="L43" s="605"/>
      <c r="M43" s="593"/>
      <c r="N43" s="593"/>
      <c r="O43" s="593"/>
      <c r="P43" s="4544" t="str">
        <f>A43</f>
        <v>估价对象XX用房的比较价值（楼面单价，元/平方米）</v>
      </c>
      <c r="Q43" s="4545"/>
      <c r="R43" s="4546" t="e">
        <f>IF(F1="售价",ROUND(IF(D42="简单平均",AVERAGE(R42:V42),R42*F42+T42*H42+V42*J42),0),ROUND(IF(D42="简单平均",AVERAGE(R42:V42),R42*F42+T42*H42+V42*J42),1))</f>
        <v>#DIV/0!</v>
      </c>
      <c r="S43" s="4546"/>
      <c r="T43" s="4546"/>
      <c r="U43" s="4546"/>
      <c r="V43" s="4546"/>
      <c r="W43" s="454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9"/>
      <c r="Q51" s="3190"/>
    </row>
    <row r="52" spans="1:23" s="305" customFormat="1">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4.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4.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4.5" thickBot="1">
      <c r="A58" s="254"/>
      <c r="B58" s="328"/>
      <c r="C58" s="329">
        <v>100</v>
      </c>
      <c r="D58" s="329"/>
      <c r="E58" s="329"/>
      <c r="F58" s="329"/>
      <c r="G58" s="329"/>
      <c r="H58" s="329"/>
      <c r="I58" s="329"/>
      <c r="J58" s="329"/>
      <c r="K58" s="329"/>
      <c r="L58" s="329"/>
      <c r="M58" s="330"/>
      <c r="N58" s="612"/>
      <c r="O58" s="612"/>
      <c r="P58" s="3193"/>
      <c r="Q58" s="3190"/>
    </row>
    <row r="59" spans="1:23" ht="28.5" thickTop="1">
      <c r="A59" s="254"/>
      <c r="B59" s="331" t="s">
        <v>1595</v>
      </c>
      <c r="C59" s="372"/>
      <c r="D59" s="372"/>
      <c r="E59" s="372"/>
      <c r="F59" s="372"/>
      <c r="G59" s="372"/>
      <c r="H59" s="372"/>
      <c r="I59" s="372"/>
      <c r="J59" s="372"/>
      <c r="K59" s="373"/>
      <c r="L59" s="374"/>
      <c r="M59" s="375"/>
      <c r="N59" s="611"/>
      <c r="O59" s="611"/>
      <c r="P59" s="3193"/>
      <c r="Q59" s="3190"/>
    </row>
    <row r="60" spans="1:23" ht="15" thickBot="1">
      <c r="A60" s="254"/>
      <c r="B60" s="336" t="s">
        <v>3877</v>
      </c>
      <c r="C60" s="329"/>
      <c r="D60" s="329"/>
      <c r="E60" s="329"/>
      <c r="F60" s="329"/>
      <c r="G60" s="329"/>
      <c r="H60" s="329"/>
      <c r="I60" s="329"/>
      <c r="J60" s="329"/>
      <c r="K60" s="329"/>
      <c r="L60" s="329"/>
      <c r="M60" s="330"/>
      <c r="N60" s="612"/>
      <c r="O60" s="612"/>
      <c r="P60" s="3193"/>
      <c r="Q60" s="3190"/>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c r="A62" s="254"/>
      <c r="B62" s="341"/>
      <c r="C62" s="342">
        <v>0</v>
      </c>
      <c r="D62" s="342">
        <v>0.5</v>
      </c>
      <c r="E62" s="342">
        <v>1</v>
      </c>
      <c r="F62" s="342">
        <v>1.5</v>
      </c>
      <c r="G62" s="342">
        <v>2</v>
      </c>
      <c r="H62" s="342"/>
      <c r="I62" s="342"/>
      <c r="J62" s="342"/>
      <c r="K62" s="343"/>
      <c r="L62" s="344"/>
      <c r="M62" s="345"/>
      <c r="N62" s="611"/>
      <c r="O62" s="611"/>
      <c r="P62" s="3193"/>
      <c r="Q62" s="3190"/>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4.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4.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4.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4.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4.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4.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4.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4.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4.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4.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4.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4.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4.5" thickTop="1">
      <c r="A86" s="254"/>
      <c r="B86" s="339">
        <f>B28</f>
        <v>111</v>
      </c>
      <c r="C86" s="20"/>
      <c r="D86" s="20"/>
      <c r="E86" s="20"/>
      <c r="F86" s="20"/>
      <c r="G86" s="376"/>
      <c r="H86" s="376"/>
      <c r="I86" s="376"/>
      <c r="J86" s="376"/>
      <c r="K86" s="377"/>
      <c r="L86" s="378"/>
      <c r="M86" s="379"/>
      <c r="N86" s="611"/>
      <c r="O86" s="611"/>
      <c r="P86" s="3193"/>
      <c r="Q86" s="3190"/>
    </row>
    <row r="87" spans="1:23" ht="14.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4.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4.5" thickTop="1">
      <c r="A93" s="280"/>
      <c r="B93" s="331" t="s">
        <v>1645</v>
      </c>
      <c r="C93" s="347"/>
      <c r="D93" s="347"/>
      <c r="E93" s="372"/>
      <c r="F93" s="372"/>
      <c r="G93" s="372"/>
      <c r="H93" s="372"/>
      <c r="I93" s="372"/>
      <c r="J93" s="372"/>
      <c r="K93" s="373"/>
      <c r="L93" s="374"/>
      <c r="M93" s="375"/>
      <c r="N93" s="611"/>
      <c r="O93" s="611"/>
      <c r="P93" s="3193"/>
      <c r="Q93" s="3190"/>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4.5" thickTop="1">
      <c r="A95" s="280"/>
      <c r="B95" s="331" t="s">
        <v>1647</v>
      </c>
      <c r="C95" s="347"/>
      <c r="D95" s="347"/>
      <c r="E95" s="347"/>
      <c r="F95" s="372"/>
      <c r="G95" s="372"/>
      <c r="H95" s="372"/>
      <c r="I95" s="372"/>
      <c r="J95" s="372"/>
      <c r="K95" s="373"/>
      <c r="L95" s="374"/>
      <c r="M95" s="375"/>
      <c r="N95" s="611"/>
      <c r="O95" s="611"/>
      <c r="P95" s="3193"/>
      <c r="Q95" s="3190"/>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4.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4.5" thickTop="1">
      <c r="A102" s="280"/>
      <c r="B102" s="331" t="s">
        <v>1649</v>
      </c>
      <c r="C102" s="347"/>
      <c r="D102" s="347"/>
      <c r="E102" s="347"/>
      <c r="F102" s="347"/>
      <c r="G102" s="347"/>
      <c r="H102" s="372"/>
      <c r="I102" s="372"/>
      <c r="J102" s="372"/>
      <c r="K102" s="373"/>
      <c r="L102" s="374"/>
      <c r="M102" s="375"/>
      <c r="N102" s="611"/>
      <c r="O102" s="611"/>
      <c r="P102" s="3193"/>
      <c r="Q102" s="3190"/>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4.5" thickTop="1">
      <c r="A104" s="280"/>
      <c r="B104" s="331" t="s">
        <v>1651</v>
      </c>
      <c r="C104" s="347"/>
      <c r="D104" s="347"/>
      <c r="E104" s="347"/>
      <c r="F104" s="347"/>
      <c r="G104" s="347"/>
      <c r="H104" s="372"/>
      <c r="I104" s="372"/>
      <c r="J104" s="372"/>
      <c r="K104" s="373"/>
      <c r="L104" s="374"/>
      <c r="M104" s="375"/>
      <c r="N104" s="611"/>
      <c r="O104" s="611"/>
      <c r="P104" s="3193"/>
      <c r="Q104" s="3190"/>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4.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4.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4.5" thickTop="1">
      <c r="A110" s="280"/>
      <c r="B110" s="331">
        <f>B39</f>
        <v>111</v>
      </c>
      <c r="C110" s="347"/>
      <c r="D110" s="347"/>
      <c r="E110" s="347"/>
      <c r="F110" s="347"/>
      <c r="G110" s="347"/>
      <c r="H110" s="348"/>
      <c r="I110" s="348"/>
      <c r="J110" s="348"/>
      <c r="K110" s="348"/>
      <c r="L110" s="349"/>
      <c r="M110" s="350"/>
      <c r="N110" s="611"/>
      <c r="O110" s="611"/>
      <c r="P110" s="3193"/>
      <c r="Q110" s="3190"/>
    </row>
    <row r="111" spans="1:23" ht="14.5" thickBot="1">
      <c r="A111" s="254"/>
      <c r="B111" s="336"/>
      <c r="C111" s="352"/>
      <c r="D111" s="329"/>
      <c r="E111" s="329"/>
      <c r="F111" s="329"/>
      <c r="G111" s="352"/>
      <c r="H111" s="354"/>
      <c r="I111" s="354"/>
      <c r="J111" s="354"/>
      <c r="K111" s="354"/>
      <c r="L111" s="354"/>
      <c r="M111" s="355"/>
      <c r="N111" s="612"/>
      <c r="O111" s="612"/>
      <c r="P111" s="3193"/>
      <c r="Q111" s="3190"/>
    </row>
    <row r="112" spans="1:23" ht="14.5" thickTop="1">
      <c r="A112" s="280"/>
      <c r="B112" s="339">
        <f>B40</f>
        <v>111</v>
      </c>
      <c r="C112" s="20"/>
      <c r="D112" s="20"/>
      <c r="E112" s="20"/>
      <c r="F112" s="20"/>
      <c r="G112" s="376"/>
      <c r="H112" s="376"/>
      <c r="I112" s="376"/>
      <c r="J112" s="376"/>
      <c r="K112" s="20"/>
      <c r="L112" s="320"/>
      <c r="M112" s="379"/>
      <c r="N112" s="611"/>
      <c r="O112" s="611"/>
      <c r="P112" s="3193"/>
      <c r="Q112" s="3190"/>
    </row>
    <row r="113" spans="1:17" ht="14.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8" t="s">
        <v>3476</v>
      </c>
      <c r="H3" s="3849">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c r="A4" s="235" t="s">
        <v>1676</v>
      </c>
      <c r="B4" s="236"/>
      <c r="C4" s="4606" t="s">
        <v>1677</v>
      </c>
      <c r="D4" s="4607"/>
      <c r="E4" s="4608" t="s">
        <v>1678</v>
      </c>
      <c r="F4" s="4609"/>
      <c r="G4" s="4606" t="s">
        <v>1679</v>
      </c>
      <c r="H4" s="4607"/>
      <c r="I4" s="4606" t="s">
        <v>1680</v>
      </c>
      <c r="J4" s="4607"/>
      <c r="K4" s="393" t="s">
        <v>1681</v>
      </c>
      <c r="L4" s="1974"/>
      <c r="M4" s="1975"/>
      <c r="N4" s="1975"/>
      <c r="O4" s="1975"/>
      <c r="P4" s="4665" t="s">
        <v>1682</v>
      </c>
      <c r="Q4" s="4666"/>
      <c r="R4" s="4588" t="s">
        <v>1678</v>
      </c>
      <c r="S4" s="4589"/>
      <c r="T4" s="4588" t="s">
        <v>1679</v>
      </c>
      <c r="U4" s="4589"/>
      <c r="V4" s="4599" t="s">
        <v>1680</v>
      </c>
      <c r="W4" s="4599"/>
      <c r="X4" s="909"/>
      <c r="Y4" s="4588" t="s">
        <v>1682</v>
      </c>
      <c r="Z4" s="4589"/>
      <c r="AA4" s="4560" t="s">
        <v>1678</v>
      </c>
      <c r="AB4" s="4561" t="s">
        <v>1679</v>
      </c>
      <c r="AC4" s="4560" t="s">
        <v>1680</v>
      </c>
    </row>
    <row r="5" spans="1:29">
      <c r="A5" s="238"/>
      <c r="B5" s="239"/>
      <c r="C5" s="4657" t="s">
        <v>1580</v>
      </c>
      <c r="D5" s="4623"/>
      <c r="E5" s="4658" t="s">
        <v>1581</v>
      </c>
      <c r="F5" s="4659"/>
      <c r="G5" s="4657" t="s">
        <v>1582</v>
      </c>
      <c r="H5" s="4623"/>
      <c r="I5" s="4657" t="s">
        <v>1583</v>
      </c>
      <c r="J5" s="4623"/>
      <c r="K5" s="393"/>
      <c r="L5" s="1974"/>
      <c r="M5" s="1975"/>
      <c r="N5" s="1975"/>
      <c r="O5" s="1975"/>
      <c r="P5" s="4667"/>
      <c r="Q5" s="4668"/>
      <c r="R5" s="4590"/>
      <c r="S5" s="4591"/>
      <c r="T5" s="4590"/>
      <c r="U5" s="4591"/>
      <c r="V5" s="4599"/>
      <c r="W5" s="4599"/>
      <c r="X5" s="909"/>
      <c r="Y5" s="4590"/>
      <c r="Z5" s="4591"/>
      <c r="AA5" s="4561"/>
      <c r="AB5" s="4561"/>
      <c r="AC5" s="4561"/>
    </row>
    <row r="6" spans="1:29" ht="15" thickBot="1">
      <c r="A6" s="240"/>
      <c r="B6" s="241"/>
      <c r="C6" s="4624" t="s">
        <v>1584</v>
      </c>
      <c r="D6" s="4618"/>
      <c r="E6" s="4625" t="s">
        <v>1584</v>
      </c>
      <c r="F6" s="4626"/>
      <c r="G6" s="4624" t="s">
        <v>1584</v>
      </c>
      <c r="H6" s="4618"/>
      <c r="I6" s="4624" t="s">
        <v>1584</v>
      </c>
      <c r="J6" s="4618"/>
      <c r="K6" s="393" t="s">
        <v>1585</v>
      </c>
      <c r="L6" s="1974"/>
      <c r="M6" s="1975"/>
      <c r="N6" s="1975"/>
      <c r="O6" s="1975"/>
      <c r="P6" s="4669"/>
      <c r="Q6" s="4670"/>
      <c r="R6" s="4590"/>
      <c r="S6" s="4591"/>
      <c r="T6" s="4592"/>
      <c r="U6" s="4593"/>
      <c r="V6" s="4599"/>
      <c r="W6" s="4599"/>
      <c r="X6" s="909"/>
      <c r="Y6" s="4592"/>
      <c r="Z6" s="4593"/>
      <c r="AA6" s="4562"/>
      <c r="AB6" s="4562"/>
      <c r="AC6" s="4562"/>
    </row>
    <row r="7" spans="1:29" s="46" customFormat="1" ht="14.5" thickBot="1">
      <c r="A7" s="242" t="s">
        <v>1586</v>
      </c>
      <c r="B7" s="243"/>
      <c r="C7" s="244">
        <f>'数据-取费表'!B2</f>
        <v>46090</v>
      </c>
      <c r="D7" s="2898">
        <v>100</v>
      </c>
      <c r="E7" s="245"/>
      <c r="F7" s="3748">
        <f>SUMIF(48:48,YEAR(E7)&amp;"-"&amp;MONTH(E7),49:49)</f>
        <v>0</v>
      </c>
      <c r="G7" s="245"/>
      <c r="H7" s="3754">
        <f>SUMIF(48:48,YEAR(G7)&amp;"-"&amp;MONTH(G7),49:49)</f>
        <v>0</v>
      </c>
      <c r="I7" s="245"/>
      <c r="J7" s="3754">
        <f>SUMIF(48:48,YEAR(I7)&amp;"-"&amp;MONTH(I7),49:49)</f>
        <v>0</v>
      </c>
      <c r="K7" s="22"/>
      <c r="L7" s="1976"/>
      <c r="M7" s="1929"/>
      <c r="N7" s="1929"/>
      <c r="O7" s="1929"/>
      <c r="P7" s="4586" t="s">
        <v>1587</v>
      </c>
      <c r="Q7" s="4671"/>
      <c r="R7" s="3767" t="s">
        <v>13</v>
      </c>
      <c r="S7" s="3770">
        <f t="shared" ref="S7:S14" si="0">F7</f>
        <v>0</v>
      </c>
      <c r="T7" s="3767" t="s">
        <v>13</v>
      </c>
      <c r="U7" s="3770">
        <f t="shared" ref="U7:U14" si="1">H7</f>
        <v>0</v>
      </c>
      <c r="V7" s="3767" t="s">
        <v>13</v>
      </c>
      <c r="W7" s="3770">
        <f t="shared" ref="W7:W14" si="2">J7</f>
        <v>0</v>
      </c>
      <c r="X7" s="482"/>
      <c r="Y7" s="4586" t="s">
        <v>1587</v>
      </c>
      <c r="Z7" s="4587"/>
      <c r="AA7" s="28" t="e">
        <f>D7/F7</f>
        <v>#DIV/0!</v>
      </c>
      <c r="AB7" s="28" t="e">
        <f>D7/H7</f>
        <v>#DIV/0!</v>
      </c>
      <c r="AC7" s="28" t="e">
        <f>D7/J7</f>
        <v>#DIV/0!</v>
      </c>
    </row>
    <row r="8" spans="1:29" s="46" customFormat="1" ht="14.5" thickBot="1">
      <c r="A8" s="242" t="s">
        <v>1588</v>
      </c>
      <c r="B8" s="243"/>
      <c r="C8" s="246"/>
      <c r="D8" s="2898">
        <v>100</v>
      </c>
      <c r="E8" s="246"/>
      <c r="F8" s="3748">
        <f>SUMIF(51:51,E8,52:52)-SUMIF(51:51,C8,52:52)+100</f>
        <v>100</v>
      </c>
      <c r="G8" s="246"/>
      <c r="H8" s="3754">
        <f>SUMIF(51:51,G8,52:52)-SUMIF(51:51,C8,52:52)+100</f>
        <v>100</v>
      </c>
      <c r="I8" s="246"/>
      <c r="J8" s="3754">
        <f>SUMIF(51:51,I8,52:52)-SUMIF(51:51,C8,52:52)+100</f>
        <v>100</v>
      </c>
      <c r="K8" s="22"/>
      <c r="L8" s="1976"/>
      <c r="M8" s="1929"/>
      <c r="N8" s="1929"/>
      <c r="O8" s="1929"/>
      <c r="P8" s="4586" t="s">
        <v>1590</v>
      </c>
      <c r="Q8" s="4587"/>
      <c r="R8" s="3767" t="s">
        <v>13</v>
      </c>
      <c r="S8" s="3770">
        <f t="shared" si="0"/>
        <v>100</v>
      </c>
      <c r="T8" s="3767" t="s">
        <v>13</v>
      </c>
      <c r="U8" s="3770">
        <f t="shared" si="1"/>
        <v>100</v>
      </c>
      <c r="V8" s="3767" t="s">
        <v>13</v>
      </c>
      <c r="W8" s="3770">
        <f t="shared" si="2"/>
        <v>100</v>
      </c>
      <c r="X8" s="482"/>
      <c r="Y8" s="4586" t="s">
        <v>1590</v>
      </c>
      <c r="Z8" s="4587"/>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60" t="s">
        <v>1593</v>
      </c>
      <c r="Q9" s="389" t="str">
        <f t="shared" ref="Q9:Q14" si="6">B9</f>
        <v>用途</v>
      </c>
      <c r="R9" s="3767" t="s">
        <v>13</v>
      </c>
      <c r="S9" s="3770">
        <f t="shared" si="0"/>
        <v>100</v>
      </c>
      <c r="T9" s="3767" t="s">
        <v>13</v>
      </c>
      <c r="U9" s="3770">
        <f t="shared" si="1"/>
        <v>100</v>
      </c>
      <c r="V9" s="3767" t="s">
        <v>13</v>
      </c>
      <c r="W9" s="3770">
        <f t="shared" si="2"/>
        <v>100</v>
      </c>
      <c r="X9" s="482"/>
      <c r="Y9" s="4559" t="s">
        <v>1594</v>
      </c>
      <c r="Z9" s="28" t="str">
        <f t="shared" ref="Z9:Z14" si="7">Q9</f>
        <v>用途</v>
      </c>
      <c r="AA9" s="28">
        <f t="shared" si="3"/>
        <v>1</v>
      </c>
      <c r="AB9" s="28">
        <f t="shared" si="4"/>
        <v>1</v>
      </c>
      <c r="AC9" s="28">
        <f t="shared" si="5"/>
        <v>1</v>
      </c>
    </row>
    <row r="10" spans="1:29" s="253" customFormat="1" ht="28">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60"/>
      <c r="Q10" s="389" t="str">
        <f t="shared" si="6"/>
        <v>土地使用年限（年）</v>
      </c>
      <c r="R10" s="3767" t="s">
        <v>13</v>
      </c>
      <c r="S10" s="3770">
        <f t="shared" si="0"/>
        <v>100</v>
      </c>
      <c r="T10" s="3767" t="s">
        <v>13</v>
      </c>
      <c r="U10" s="3770">
        <f t="shared" si="1"/>
        <v>100</v>
      </c>
      <c r="V10" s="3767" t="s">
        <v>13</v>
      </c>
      <c r="W10" s="3770">
        <f t="shared" si="2"/>
        <v>100</v>
      </c>
      <c r="X10" s="482"/>
      <c r="Y10" s="4559"/>
      <c r="Z10" s="28" t="str">
        <f t="shared" si="7"/>
        <v>土地使用年限（年）</v>
      </c>
      <c r="AA10" s="28">
        <f t="shared" si="3"/>
        <v>1</v>
      </c>
      <c r="AB10" s="28">
        <f t="shared" si="4"/>
        <v>1</v>
      </c>
      <c r="AC10" s="28">
        <f t="shared" si="5"/>
        <v>1</v>
      </c>
    </row>
    <row r="11" spans="1:29" ht="15.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60"/>
      <c r="Q11" s="389">
        <f t="shared" si="6"/>
        <v>111</v>
      </c>
      <c r="R11" s="3767" t="s">
        <v>13</v>
      </c>
      <c r="S11" s="3770">
        <f t="shared" si="0"/>
        <v>100</v>
      </c>
      <c r="T11" s="3767" t="s">
        <v>13</v>
      </c>
      <c r="U11" s="3770">
        <f t="shared" si="1"/>
        <v>100</v>
      </c>
      <c r="V11" s="3767" t="s">
        <v>13</v>
      </c>
      <c r="W11" s="3770">
        <f t="shared" si="2"/>
        <v>100</v>
      </c>
      <c r="X11" s="482"/>
      <c r="Y11" s="4559"/>
      <c r="Z11" s="28">
        <f t="shared" si="7"/>
        <v>111</v>
      </c>
      <c r="AA11" s="28">
        <f t="shared" si="3"/>
        <v>1</v>
      </c>
      <c r="AB11" s="28">
        <f t="shared" si="4"/>
        <v>1</v>
      </c>
      <c r="AC11" s="28">
        <f t="shared" si="5"/>
        <v>1</v>
      </c>
    </row>
    <row r="12" spans="1:29" s="46" customFormat="1" ht="15.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60"/>
      <c r="Q12" s="389">
        <f t="shared" si="6"/>
        <v>111</v>
      </c>
      <c r="R12" s="3767" t="s">
        <v>13</v>
      </c>
      <c r="S12" s="3770">
        <f t="shared" si="0"/>
        <v>100</v>
      </c>
      <c r="T12" s="3767" t="s">
        <v>13</v>
      </c>
      <c r="U12" s="3770">
        <f t="shared" si="1"/>
        <v>100</v>
      </c>
      <c r="V12" s="3767" t="s">
        <v>13</v>
      </c>
      <c r="W12" s="3770">
        <f t="shared" si="2"/>
        <v>100</v>
      </c>
      <c r="X12" s="482"/>
      <c r="Y12" s="4559"/>
      <c r="Z12" s="28">
        <f t="shared" si="7"/>
        <v>111</v>
      </c>
      <c r="AA12" s="28">
        <f>D12/F12</f>
        <v>1</v>
      </c>
      <c r="AB12" s="28">
        <f>D12/H12</f>
        <v>1</v>
      </c>
      <c r="AC12" s="28">
        <f>D12/J12</f>
        <v>1</v>
      </c>
    </row>
    <row r="13" spans="1:29" ht="16" thickBot="1">
      <c r="A13" s="418"/>
      <c r="B13" s="416">
        <v>111</v>
      </c>
      <c r="C13" s="259"/>
      <c r="D13" s="2902">
        <v>100</v>
      </c>
      <c r="E13" s="258"/>
      <c r="F13" s="422">
        <f>SUMIF(61:61,E13,62:62)-SUMIF(61:61,C13,62:62)+100</f>
        <v>100</v>
      </c>
      <c r="G13" s="258"/>
      <c r="H13" s="3752">
        <f>SUMIF(61:61,G13,62:62)-SUMIF(61:61,C13,62:62)+100</f>
        <v>100</v>
      </c>
      <c r="I13" s="258"/>
      <c r="J13" s="3752">
        <f>SUMIF(61:61,I13,62:62)-SUMIF(61:61,C13,62:62)+100</f>
        <v>100</v>
      </c>
      <c r="K13" s="395"/>
      <c r="L13" s="1980"/>
      <c r="M13" s="1975"/>
      <c r="N13" s="1975"/>
      <c r="O13" s="1975"/>
      <c r="P13" s="4660"/>
      <c r="Q13" s="389">
        <f t="shared" si="6"/>
        <v>111</v>
      </c>
      <c r="R13" s="3767" t="s">
        <v>13</v>
      </c>
      <c r="S13" s="3770">
        <f t="shared" si="0"/>
        <v>100</v>
      </c>
      <c r="T13" s="3767" t="s">
        <v>13</v>
      </c>
      <c r="U13" s="3770">
        <f t="shared" si="1"/>
        <v>100</v>
      </c>
      <c r="V13" s="3767" t="s">
        <v>13</v>
      </c>
      <c r="W13" s="3770">
        <f t="shared" si="2"/>
        <v>100</v>
      </c>
      <c r="X13" s="482"/>
      <c r="Y13" s="4559"/>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4">
        <v>100</v>
      </c>
      <c r="E14" s="263"/>
      <c r="F14" s="3756">
        <f>SUMIF(63:63,E15,64:64)-SUMIF(63:63,C15,64:64)+100</f>
        <v>100</v>
      </c>
      <c r="G14" s="264"/>
      <c r="H14" s="3750">
        <f>SUMIF(63:63,G15,64:64)-SUMIF(63:63,C15,64:64)+100</f>
        <v>100</v>
      </c>
      <c r="I14" s="263"/>
      <c r="J14" s="3750">
        <f>SUMIF(63:63,I15,64:64)-SUMIF(63:63,C15,64:64)+100</f>
        <v>100</v>
      </c>
      <c r="K14" s="396"/>
      <c r="L14" s="1980"/>
      <c r="M14" s="1975"/>
      <c r="N14" s="1975"/>
      <c r="O14" s="1975"/>
      <c r="P14" s="4549" t="s">
        <v>1598</v>
      </c>
      <c r="Q14" s="906" t="str">
        <f t="shared" si="6"/>
        <v>交通便捷度</v>
      </c>
      <c r="R14" s="3768" t="s">
        <v>13</v>
      </c>
      <c r="S14" s="3771">
        <f t="shared" si="0"/>
        <v>100</v>
      </c>
      <c r="T14" s="3768" t="s">
        <v>13</v>
      </c>
      <c r="U14" s="3771">
        <f t="shared" si="1"/>
        <v>100</v>
      </c>
      <c r="V14" s="3768" t="s">
        <v>13</v>
      </c>
      <c r="W14" s="3771">
        <f t="shared" si="2"/>
        <v>100</v>
      </c>
      <c r="X14" s="909"/>
      <c r="Y14" s="4549" t="s">
        <v>1598</v>
      </c>
      <c r="Z14" s="907" t="str">
        <f t="shared" si="7"/>
        <v>交通便捷度</v>
      </c>
      <c r="AA14" s="907">
        <f t="shared" si="3"/>
        <v>1</v>
      </c>
      <c r="AB14" s="907">
        <f t="shared" si="4"/>
        <v>1</v>
      </c>
      <c r="AC14" s="907">
        <f t="shared" si="5"/>
        <v>1</v>
      </c>
    </row>
    <row r="15" spans="1:29" ht="15.5">
      <c r="A15" s="238"/>
      <c r="B15" s="419"/>
      <c r="C15" s="266"/>
      <c r="D15" s="2905"/>
      <c r="E15" s="266"/>
      <c r="F15" s="3757"/>
      <c r="G15" s="266"/>
      <c r="H15" s="268"/>
      <c r="I15" s="266"/>
      <c r="J15" s="267"/>
      <c r="K15" s="397"/>
      <c r="L15" s="1980"/>
      <c r="M15" s="1975"/>
      <c r="N15" s="1975"/>
      <c r="O15" s="1975"/>
      <c r="P15" s="4550"/>
      <c r="Q15" s="906"/>
      <c r="R15" s="3768"/>
      <c r="S15" s="3771"/>
      <c r="T15" s="3768"/>
      <c r="U15" s="3771"/>
      <c r="V15" s="3768"/>
      <c r="W15" s="3771"/>
      <c r="X15" s="909"/>
      <c r="Y15" s="4550"/>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7">
        <v>100</v>
      </c>
      <c r="E16" s="273"/>
      <c r="F16" s="3759">
        <f>SUMIF(65:65,E17,66:66)-SUMIF(65:65,C17,66:66)+100</f>
        <v>100</v>
      </c>
      <c r="G16" s="274"/>
      <c r="H16" s="3751">
        <f>SUMIF(65:65,G17,66:66)-SUMIF(65:65,C17,66:66)+100</f>
        <v>100</v>
      </c>
      <c r="I16" s="273"/>
      <c r="J16" s="3751">
        <f>SUMIF(65:65,I17,66:66)-SUMIF(65:65,C17,66:66)+100</f>
        <v>100</v>
      </c>
      <c r="K16" s="396"/>
      <c r="L16" s="1980"/>
      <c r="M16" s="1975"/>
      <c r="N16" s="1975"/>
      <c r="O16" s="1975"/>
      <c r="P16" s="4550"/>
      <c r="Q16" s="906" t="str">
        <f>B16</f>
        <v>公共配套设施</v>
      </c>
      <c r="R16" s="3768" t="s">
        <v>13</v>
      </c>
      <c r="S16" s="3771">
        <f>F16</f>
        <v>100</v>
      </c>
      <c r="T16" s="3768" t="s">
        <v>13</v>
      </c>
      <c r="U16" s="3771">
        <f>H16</f>
        <v>100</v>
      </c>
      <c r="V16" s="3768" t="s">
        <v>13</v>
      </c>
      <c r="W16" s="3771">
        <f>J16</f>
        <v>100</v>
      </c>
      <c r="X16" s="909"/>
      <c r="Y16" s="4550"/>
      <c r="Z16" s="907" t="str">
        <f>Q16</f>
        <v>公共配套设施</v>
      </c>
      <c r="AA16" s="907">
        <f t="shared" si="3"/>
        <v>1</v>
      </c>
      <c r="AB16" s="907">
        <f t="shared" si="4"/>
        <v>1</v>
      </c>
      <c r="AC16" s="907">
        <f t="shared" si="5"/>
        <v>1</v>
      </c>
    </row>
    <row r="17" spans="1:29" ht="15.5">
      <c r="A17" s="238"/>
      <c r="B17" s="406"/>
      <c r="C17" s="1365"/>
      <c r="D17" s="2905"/>
      <c r="E17" s="266"/>
      <c r="F17" s="3757"/>
      <c r="G17" s="266"/>
      <c r="H17" s="267"/>
      <c r="I17" s="266"/>
      <c r="J17" s="267"/>
      <c r="K17" s="397"/>
      <c r="L17" s="1980"/>
      <c r="M17" s="1975"/>
      <c r="N17" s="1975"/>
      <c r="O17" s="1975"/>
      <c r="P17" s="4550"/>
      <c r="Q17" s="906"/>
      <c r="R17" s="3768"/>
      <c r="S17" s="3771"/>
      <c r="T17" s="3768"/>
      <c r="U17" s="3771"/>
      <c r="V17" s="3768"/>
      <c r="W17" s="3771"/>
      <c r="X17" s="909"/>
      <c r="Y17" s="4550"/>
      <c r="Z17" s="907"/>
      <c r="AA17" s="907">
        <v>1</v>
      </c>
      <c r="AB17" s="907">
        <v>1</v>
      </c>
      <c r="AC17" s="907">
        <v>1</v>
      </c>
    </row>
    <row r="18" spans="1:29" ht="42">
      <c r="A18" s="238"/>
      <c r="B18" s="407" t="s">
        <v>1720</v>
      </c>
      <c r="C18" s="1364" t="str">
        <f>IF(B1="工业",估价对象房地状况!G6,估价对象房地状况!C8)</f>
        <v>估价对象所在区域基础设施水平</v>
      </c>
      <c r="D18" s="2906">
        <v>100</v>
      </c>
      <c r="E18" s="270"/>
      <c r="F18" s="3759">
        <f>SUMIF(67:67,E19,68:68)-SUMIF(67:67,C19,68:68)+100</f>
        <v>100</v>
      </c>
      <c r="G18" s="271"/>
      <c r="H18" s="3751">
        <f>SUMIF(67:67,G19,68:68)-SUMIF(67:67,C19,68:68)+100</f>
        <v>100</v>
      </c>
      <c r="I18" s="270"/>
      <c r="J18" s="3751">
        <f>SUMIF(67:67,I19,68:68)-SUMIF(67:67,C19,68:68)+100</f>
        <v>100</v>
      </c>
      <c r="K18" s="396"/>
      <c r="L18" s="1980"/>
      <c r="M18" s="1975"/>
      <c r="N18" s="1975"/>
      <c r="O18" s="1975"/>
      <c r="P18" s="4550"/>
      <c r="Q18" s="906" t="str">
        <f>B18</f>
        <v>基础设施水平</v>
      </c>
      <c r="R18" s="3768" t="s">
        <v>13</v>
      </c>
      <c r="S18" s="3771">
        <f>F18</f>
        <v>100</v>
      </c>
      <c r="T18" s="3768" t="s">
        <v>13</v>
      </c>
      <c r="U18" s="3771">
        <f>H18</f>
        <v>100</v>
      </c>
      <c r="V18" s="3768" t="s">
        <v>13</v>
      </c>
      <c r="W18" s="3771">
        <f>J18</f>
        <v>100</v>
      </c>
      <c r="X18" s="909"/>
      <c r="Y18" s="4550"/>
      <c r="Z18" s="907" t="str">
        <f>Q18</f>
        <v>基础设施水平</v>
      </c>
      <c r="AA18" s="907">
        <f t="shared" ref="AA18" si="8">D18/F18</f>
        <v>1</v>
      </c>
      <c r="AB18" s="907">
        <f t="shared" ref="AB18" si="9">D18/H18</f>
        <v>1</v>
      </c>
      <c r="AC18" s="907">
        <f t="shared" ref="AC18" si="10">D18/J18</f>
        <v>1</v>
      </c>
    </row>
    <row r="19" spans="1:29" ht="15.5">
      <c r="A19" s="238"/>
      <c r="B19" s="407"/>
      <c r="C19" s="1365"/>
      <c r="D19" s="2906"/>
      <c r="E19" s="1365"/>
      <c r="F19" s="3758"/>
      <c r="G19" s="1365"/>
      <c r="H19" s="267"/>
      <c r="I19" s="266"/>
      <c r="J19" s="267"/>
      <c r="K19" s="758"/>
      <c r="L19" s="1980"/>
      <c r="M19" s="1975"/>
      <c r="N19" s="1975"/>
      <c r="O19" s="1975"/>
      <c r="P19" s="4550"/>
      <c r="Q19" s="906"/>
      <c r="R19" s="3768"/>
      <c r="S19" s="3771"/>
      <c r="T19" s="3768"/>
      <c r="U19" s="3771"/>
      <c r="V19" s="3768"/>
      <c r="W19" s="3771"/>
      <c r="X19" s="909"/>
      <c r="Y19" s="4550"/>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7">
        <v>100</v>
      </c>
      <c r="E20" s="273"/>
      <c r="F20" s="3759">
        <f>SUMIF(69:69,E21,70:70)-SUMIF(69:69,C21,70:70)+100</f>
        <v>100</v>
      </c>
      <c r="G20" s="274"/>
      <c r="H20" s="268">
        <f>SUMIF(69:69,G21,70:70)-SUMIF(69:69,C21,70:70)+100</f>
        <v>100</v>
      </c>
      <c r="I20" s="270"/>
      <c r="J20" s="268">
        <f>SUMIF(69:69,I21,70:70)-SUMIF(69:69,C21,70:70)+100</f>
        <v>100</v>
      </c>
      <c r="K20" s="396"/>
      <c r="L20" s="1980"/>
      <c r="M20" s="1975"/>
      <c r="N20" s="1975"/>
      <c r="O20" s="1975"/>
      <c r="P20" s="4550"/>
      <c r="Q20" s="906" t="str">
        <f>B20</f>
        <v>自然及人文环境</v>
      </c>
      <c r="R20" s="3768" t="s">
        <v>13</v>
      </c>
      <c r="S20" s="3771">
        <f>F20</f>
        <v>100</v>
      </c>
      <c r="T20" s="3768" t="s">
        <v>13</v>
      </c>
      <c r="U20" s="3771">
        <f>H20</f>
        <v>100</v>
      </c>
      <c r="V20" s="3768" t="s">
        <v>13</v>
      </c>
      <c r="W20" s="3771">
        <f>J20</f>
        <v>100</v>
      </c>
      <c r="X20" s="909"/>
      <c r="Y20" s="4550"/>
      <c r="Z20" s="907" t="str">
        <f>Q20</f>
        <v>自然及人文环境</v>
      </c>
      <c r="AA20" s="907">
        <f t="shared" si="3"/>
        <v>1</v>
      </c>
      <c r="AB20" s="907">
        <f t="shared" si="4"/>
        <v>1</v>
      </c>
      <c r="AC20" s="907">
        <f t="shared" si="5"/>
        <v>1</v>
      </c>
    </row>
    <row r="21" spans="1:29" ht="15.5">
      <c r="A21" s="238"/>
      <c r="B21" s="406"/>
      <c r="C21" s="266"/>
      <c r="D21" s="2905"/>
      <c r="E21" s="266"/>
      <c r="F21" s="3757"/>
      <c r="G21" s="266"/>
      <c r="H21" s="267"/>
      <c r="I21" s="266"/>
      <c r="J21" s="267"/>
      <c r="K21" s="397"/>
      <c r="L21" s="1980"/>
      <c r="M21" s="1975"/>
      <c r="N21" s="1975"/>
      <c r="O21" s="1975"/>
      <c r="P21" s="4550"/>
      <c r="Q21" s="906"/>
      <c r="R21" s="3768"/>
      <c r="S21" s="3771"/>
      <c r="T21" s="3768"/>
      <c r="U21" s="3771"/>
      <c r="V21" s="3768"/>
      <c r="W21" s="3771"/>
      <c r="X21" s="909"/>
      <c r="Y21" s="4550"/>
      <c r="Z21" s="907"/>
      <c r="AA21" s="907">
        <v>1</v>
      </c>
      <c r="AB21" s="907">
        <v>1</v>
      </c>
      <c r="AC21" s="907">
        <v>1</v>
      </c>
    </row>
    <row r="22" spans="1:29" ht="15.5">
      <c r="A22" s="238"/>
      <c r="B22" s="405" t="s">
        <v>1742</v>
      </c>
      <c r="C22" s="398"/>
      <c r="D22" s="2906">
        <v>100</v>
      </c>
      <c r="E22" s="398"/>
      <c r="F22" s="908">
        <f>SUMIF(71:71,E22,72:72)-SUMIF(71:71,C22,72:72)+100</f>
        <v>100</v>
      </c>
      <c r="G22" s="398"/>
      <c r="H22" s="3752">
        <f>SUMIF(71:71,G22,72:72)-SUMIF(71:71,C22,72:72)+100</f>
        <v>100</v>
      </c>
      <c r="I22" s="398"/>
      <c r="J22" s="3752">
        <f>SUMIF(71:71,I22,72:72)-SUMIF(71:71,C22,72:72)+100</f>
        <v>100</v>
      </c>
      <c r="K22" s="394"/>
      <c r="L22" s="1980"/>
      <c r="M22" s="1975"/>
      <c r="N22" s="1975"/>
      <c r="O22" s="1975"/>
      <c r="P22" s="4550"/>
      <c r="Q22" s="906" t="str">
        <f>B22</f>
        <v>楼层</v>
      </c>
      <c r="R22" s="3768" t="s">
        <v>13</v>
      </c>
      <c r="S22" s="3771">
        <f>F22</f>
        <v>100</v>
      </c>
      <c r="T22" s="3768" t="s">
        <v>13</v>
      </c>
      <c r="U22" s="3771">
        <f>H22</f>
        <v>100</v>
      </c>
      <c r="V22" s="3768" t="s">
        <v>13</v>
      </c>
      <c r="W22" s="3771">
        <f>J22</f>
        <v>100</v>
      </c>
      <c r="X22" s="909"/>
      <c r="Y22" s="4550"/>
      <c r="Z22" s="907" t="str">
        <f>Q22</f>
        <v>楼层</v>
      </c>
      <c r="AA22" s="907">
        <f t="shared" si="3"/>
        <v>1</v>
      </c>
      <c r="AB22" s="907">
        <f t="shared" si="4"/>
        <v>1</v>
      </c>
      <c r="AC22" s="907">
        <f t="shared" si="5"/>
        <v>1</v>
      </c>
    </row>
    <row r="23" spans="1:29" ht="15.5">
      <c r="A23" s="238"/>
      <c r="B23" s="311">
        <v>111</v>
      </c>
      <c r="C23" s="258"/>
      <c r="D23" s="2902">
        <v>100</v>
      </c>
      <c r="E23" s="258"/>
      <c r="F23" s="908">
        <f>SUMIF(73:73,E23,74:74)-SUMIF(73:73,C23,74:74)+100</f>
        <v>100</v>
      </c>
      <c r="G23" s="258"/>
      <c r="H23" s="3752">
        <f>SUMIF(73:73,G23,74:74)-SUMIF(73:73,C23,74:74)+100</f>
        <v>100</v>
      </c>
      <c r="I23" s="258"/>
      <c r="J23" s="3752">
        <f>SUMIF(73:73,I23,74:74)-SUMIF(73:73,C23,74:74)+100</f>
        <v>100</v>
      </c>
      <c r="K23" s="395"/>
      <c r="L23" s="1980"/>
      <c r="M23" s="1975"/>
      <c r="N23" s="1975"/>
      <c r="O23" s="1975"/>
      <c r="P23" s="4550"/>
      <c r="Q23" s="906">
        <f>B23</f>
        <v>111</v>
      </c>
      <c r="R23" s="3768" t="s">
        <v>13</v>
      </c>
      <c r="S23" s="3771">
        <f>F23</f>
        <v>100</v>
      </c>
      <c r="T23" s="3768" t="s">
        <v>13</v>
      </c>
      <c r="U23" s="3771">
        <f>H23</f>
        <v>100</v>
      </c>
      <c r="V23" s="3768" t="s">
        <v>13</v>
      </c>
      <c r="W23" s="3771">
        <f>J23</f>
        <v>100</v>
      </c>
      <c r="X23" s="909"/>
      <c r="Y23" s="4550"/>
      <c r="Z23" s="907">
        <f>Q23</f>
        <v>111</v>
      </c>
      <c r="AA23" s="907">
        <f t="shared" si="3"/>
        <v>1</v>
      </c>
      <c r="AB23" s="907">
        <f t="shared" si="4"/>
        <v>1</v>
      </c>
      <c r="AC23" s="907">
        <f t="shared" si="5"/>
        <v>1</v>
      </c>
    </row>
    <row r="24" spans="1:29" ht="15.5">
      <c r="A24" s="238"/>
      <c r="B24" s="311">
        <v>111</v>
      </c>
      <c r="C24" s="258"/>
      <c r="D24" s="2902">
        <v>100</v>
      </c>
      <c r="E24" s="258"/>
      <c r="F24" s="908">
        <f>SUMIF(75:75,E24,76:76)-SUMIF(75:75,C24,76:76)+100</f>
        <v>100</v>
      </c>
      <c r="G24" s="258"/>
      <c r="H24" s="3752">
        <f>SUMIF(75:75,G24,76:76)-SUMIF(75:75,C24,76:76)+100</f>
        <v>100</v>
      </c>
      <c r="I24" s="258"/>
      <c r="J24" s="3752">
        <f>SUMIF(75:75,I24,76:76)-SUMIF(75:75,C24,76:76)+100</f>
        <v>100</v>
      </c>
      <c r="K24" s="395"/>
      <c r="L24" s="1980"/>
      <c r="M24" s="1975"/>
      <c r="N24" s="1975"/>
      <c r="O24" s="1975"/>
      <c r="P24" s="4550"/>
      <c r="Q24" s="906">
        <f t="shared" ref="Q24:Q36" si="11">B24</f>
        <v>111</v>
      </c>
      <c r="R24" s="3768" t="s">
        <v>13</v>
      </c>
      <c r="S24" s="3771">
        <f>F24</f>
        <v>100</v>
      </c>
      <c r="T24" s="3768" t="s">
        <v>13</v>
      </c>
      <c r="U24" s="3771">
        <f>H24</f>
        <v>100</v>
      </c>
      <c r="V24" s="3768" t="s">
        <v>13</v>
      </c>
      <c r="W24" s="3771">
        <f>J24</f>
        <v>100</v>
      </c>
      <c r="X24" s="909"/>
      <c r="Y24" s="4550"/>
      <c r="Z24" s="907">
        <f>Q24</f>
        <v>111</v>
      </c>
      <c r="AA24" s="907">
        <f t="shared" si="3"/>
        <v>1</v>
      </c>
      <c r="AB24" s="907">
        <f t="shared" si="4"/>
        <v>1</v>
      </c>
      <c r="AC24" s="907">
        <f t="shared" si="5"/>
        <v>1</v>
      </c>
    </row>
    <row r="25" spans="1:29" s="46" customFormat="1" ht="16" thickBot="1">
      <c r="A25" s="306"/>
      <c r="B25" s="409">
        <v>111</v>
      </c>
      <c r="C25" s="261"/>
      <c r="D25" s="2910">
        <v>100</v>
      </c>
      <c r="E25" s="402"/>
      <c r="F25" s="3765">
        <f>SUMIF(77:77,E25,78:78)-SUMIF(77:77,C25,78:78)+100</f>
        <v>100</v>
      </c>
      <c r="G25" s="402"/>
      <c r="H25" s="3766">
        <f>SUMIF(77:77,G25,78:78)-SUMIF(77:77,C25,78:78)+100</f>
        <v>100</v>
      </c>
      <c r="I25" s="402"/>
      <c r="J25" s="3766">
        <f>SUMIF(77:77,I25,78:78)-SUMIF(77:77,C25,78:78)+100</f>
        <v>100</v>
      </c>
      <c r="K25" s="395"/>
      <c r="L25" s="1976"/>
      <c r="M25" s="1929"/>
      <c r="N25" s="1929"/>
      <c r="O25" s="1929"/>
      <c r="P25" s="4550"/>
      <c r="Q25" s="389">
        <f t="shared" si="11"/>
        <v>111</v>
      </c>
      <c r="R25" s="3767" t="s">
        <v>13</v>
      </c>
      <c r="S25" s="3770">
        <f>F25</f>
        <v>100</v>
      </c>
      <c r="T25" s="3767" t="s">
        <v>13</v>
      </c>
      <c r="U25" s="3770">
        <f>H25</f>
        <v>100</v>
      </c>
      <c r="V25" s="3767" t="s">
        <v>13</v>
      </c>
      <c r="W25" s="3770">
        <f>J25</f>
        <v>100</v>
      </c>
      <c r="X25" s="482"/>
      <c r="Y25" s="4550"/>
      <c r="Z25" s="28">
        <f>Q25</f>
        <v>111</v>
      </c>
      <c r="AA25" s="907">
        <f>D25/F25</f>
        <v>1</v>
      </c>
      <c r="AB25" s="907">
        <f>D25/H25</f>
        <v>1</v>
      </c>
      <c r="AC25" s="907">
        <f>D25/J25</f>
        <v>1</v>
      </c>
    </row>
    <row r="26" spans="1:29" ht="29">
      <c r="A26" s="420" t="s">
        <v>1601</v>
      </c>
      <c r="B26" s="33" t="s">
        <v>1743</v>
      </c>
      <c r="C26" s="1425" t="str">
        <f>B1</f>
        <v>车库</v>
      </c>
      <c r="D26" s="2905">
        <v>100</v>
      </c>
      <c r="E26" s="266"/>
      <c r="F26" s="3757">
        <f>SUMIF(79:79,E26,80:80)-SUMIF(79:79,C26,80:80)+100</f>
        <v>0</v>
      </c>
      <c r="G26" s="266"/>
      <c r="H26" s="267">
        <f>SUMIF(79:79,G26,80:80)-SUMIF(79:79,C26,80:80)+100</f>
        <v>0</v>
      </c>
      <c r="I26" s="266"/>
      <c r="J26" s="267">
        <f>SUMIF(79:79,I26,80:80)-SUMIF(79:79,C26,80:80)+100</f>
        <v>0</v>
      </c>
      <c r="K26" s="394"/>
      <c r="L26" s="1980"/>
      <c r="M26" s="1975"/>
      <c r="N26" s="1975"/>
      <c r="O26" s="1975"/>
      <c r="P26" s="4664"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54"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900">
        <v>100</v>
      </c>
      <c r="E27" s="423"/>
      <c r="F27" s="908">
        <f>SUMIF(81:81,E27,82:82)-SUMIF(81:81,C27,82:82)+100</f>
        <v>100</v>
      </c>
      <c r="G27" s="423"/>
      <c r="H27" s="3752">
        <f>SUMIF(81:81,G27,82:82)-SUMIF(81:81,C27,82:82)+100</f>
        <v>100</v>
      </c>
      <c r="I27" s="423"/>
      <c r="J27" s="3752">
        <f>SUMIF(81:81,I27,82:82)-SUMIF(81:81,C27,82:82)+100</f>
        <v>100</v>
      </c>
      <c r="K27" s="395"/>
      <c r="L27" s="1979"/>
      <c r="M27" s="1981"/>
      <c r="N27" s="1981"/>
      <c r="O27" s="1981"/>
      <c r="P27" s="4554"/>
      <c r="Q27" s="483" t="str">
        <f t="shared" si="11"/>
        <v>项目停车位配比</v>
      </c>
      <c r="R27" s="3769" t="s">
        <v>13</v>
      </c>
      <c r="S27" s="3772">
        <f t="shared" si="12"/>
        <v>100</v>
      </c>
      <c r="T27" s="3769" t="s">
        <v>13</v>
      </c>
      <c r="U27" s="3772">
        <f t="shared" si="13"/>
        <v>100</v>
      </c>
      <c r="V27" s="3769" t="s">
        <v>13</v>
      </c>
      <c r="W27" s="3772">
        <f t="shared" si="14"/>
        <v>100</v>
      </c>
      <c r="X27" s="484"/>
      <c r="Y27" s="4554"/>
      <c r="Z27" s="485" t="str">
        <f t="shared" si="15"/>
        <v>项目停车位配比</v>
      </c>
      <c r="AA27" s="907">
        <f t="shared" si="3"/>
        <v>1</v>
      </c>
      <c r="AB27" s="907">
        <f t="shared" si="4"/>
        <v>1</v>
      </c>
      <c r="AC27" s="907">
        <f t="shared" si="5"/>
        <v>1</v>
      </c>
    </row>
    <row r="28" spans="1:29" ht="15.5">
      <c r="A28" s="424"/>
      <c r="B28" s="422" t="s">
        <v>1745</v>
      </c>
      <c r="C28" s="275"/>
      <c r="D28" s="2902">
        <v>100</v>
      </c>
      <c r="E28" s="275"/>
      <c r="F28" s="908">
        <f>SUMIF(83:83,E28,84:84)-SUMIF(83:83,C28,84:84)+100</f>
        <v>100</v>
      </c>
      <c r="G28" s="275"/>
      <c r="H28" s="3752">
        <f>SUMIF(83:83,G28,84:84)-SUMIF(83:83,C28,84:84)+100</f>
        <v>100</v>
      </c>
      <c r="I28" s="275"/>
      <c r="J28" s="3752">
        <f>SUMIF(83:83,I28,84:84)-SUMIF(83:83,C28,84:84)+100</f>
        <v>100</v>
      </c>
      <c r="K28" s="394"/>
      <c r="L28" s="1980"/>
      <c r="M28" s="1975"/>
      <c r="N28" s="1975"/>
      <c r="O28" s="1975"/>
      <c r="P28" s="4554"/>
      <c r="Q28" s="906" t="str">
        <f t="shared" si="11"/>
        <v>公共部分装修</v>
      </c>
      <c r="R28" s="3768" t="s">
        <v>13</v>
      </c>
      <c r="S28" s="3771">
        <f t="shared" si="12"/>
        <v>100</v>
      </c>
      <c r="T28" s="3768" t="s">
        <v>13</v>
      </c>
      <c r="U28" s="3771">
        <f t="shared" si="13"/>
        <v>100</v>
      </c>
      <c r="V28" s="3768" t="s">
        <v>13</v>
      </c>
      <c r="W28" s="3771">
        <f t="shared" si="14"/>
        <v>100</v>
      </c>
      <c r="X28" s="909"/>
      <c r="Y28" s="4554"/>
      <c r="Z28" s="907" t="str">
        <f t="shared" si="15"/>
        <v>公共部分装修</v>
      </c>
      <c r="AA28" s="907">
        <f t="shared" si="3"/>
        <v>1</v>
      </c>
      <c r="AB28" s="907">
        <f t="shared" si="4"/>
        <v>1</v>
      </c>
      <c r="AC28" s="907">
        <f t="shared" si="5"/>
        <v>1</v>
      </c>
    </row>
    <row r="29" spans="1:29" ht="15.5">
      <c r="A29" s="424"/>
      <c r="B29" s="422" t="s">
        <v>1746</v>
      </c>
      <c r="C29" s="282"/>
      <c r="D29" s="2902">
        <v>100</v>
      </c>
      <c r="E29" s="282"/>
      <c r="F29" s="908" t="e">
        <f>LOOKUP(E29,86:86,87:87)-LOOKUP(C29,86:86,87:87)+100</f>
        <v>#N/A</v>
      </c>
      <c r="G29" s="282"/>
      <c r="H29" s="908" t="e">
        <f>LOOKUP(G29,86:86,87:87)-LOOKUP(C29,86:86,87:87)+100</f>
        <v>#N/A</v>
      </c>
      <c r="I29" s="282"/>
      <c r="J29" s="3752" t="e">
        <f>LOOKUP(I29,86:86,87:87)-LOOKUP(C29,86:86,87:87)+100</f>
        <v>#N/A</v>
      </c>
      <c r="K29" s="394"/>
      <c r="L29" s="1980"/>
      <c r="M29" s="1975"/>
      <c r="N29" s="1975"/>
      <c r="O29" s="1975"/>
      <c r="P29" s="4554"/>
      <c r="Q29" s="906" t="str">
        <f t="shared" si="11"/>
        <v>成新率</v>
      </c>
      <c r="R29" s="3768" t="s">
        <v>13</v>
      </c>
      <c r="S29" s="3771" t="e">
        <f t="shared" si="12"/>
        <v>#N/A</v>
      </c>
      <c r="T29" s="3768" t="s">
        <v>13</v>
      </c>
      <c r="U29" s="3771" t="e">
        <f t="shared" si="13"/>
        <v>#N/A</v>
      </c>
      <c r="V29" s="3768" t="s">
        <v>13</v>
      </c>
      <c r="W29" s="3771" t="e">
        <f t="shared" si="14"/>
        <v>#N/A</v>
      </c>
      <c r="X29" s="909"/>
      <c r="Y29" s="4554"/>
      <c r="Z29" s="907" t="str">
        <f t="shared" si="15"/>
        <v>成新率</v>
      </c>
      <c r="AA29" s="907" t="e">
        <f t="shared" si="3"/>
        <v>#N/A</v>
      </c>
      <c r="AB29" s="907" t="e">
        <f t="shared" si="4"/>
        <v>#N/A</v>
      </c>
      <c r="AC29" s="907" t="e">
        <f t="shared" si="5"/>
        <v>#N/A</v>
      </c>
    </row>
    <row r="30" spans="1:29" ht="15.5">
      <c r="A30" s="424"/>
      <c r="B30" s="422" t="s">
        <v>1747</v>
      </c>
      <c r="C30" s="425"/>
      <c r="D30" s="2902">
        <v>100</v>
      </c>
      <c r="E30" s="425"/>
      <c r="F30" s="908">
        <f>SUMIF(88:88,E30,89:89)-SUMIF(88:88,C30,89:89)+100</f>
        <v>100</v>
      </c>
      <c r="G30" s="425"/>
      <c r="H30" s="3752">
        <f>SUMIF(88:88,E30,89:89)-SUMIF(88:88,C30,89:89)+100</f>
        <v>100</v>
      </c>
      <c r="I30" s="425"/>
      <c r="J30" s="3752">
        <f>SUMIF(88:88,E30,89:89)-SUMIF(88:88,C30,89:89)+100</f>
        <v>100</v>
      </c>
      <c r="K30" s="394"/>
      <c r="L30" s="1980"/>
      <c r="M30" s="1975"/>
      <c r="N30" s="1975"/>
      <c r="O30" s="1975"/>
      <c r="P30" s="4554"/>
      <c r="Q30" s="906" t="str">
        <f t="shared" si="11"/>
        <v>物业等级</v>
      </c>
      <c r="R30" s="3768" t="s">
        <v>13</v>
      </c>
      <c r="S30" s="3771">
        <f t="shared" si="12"/>
        <v>100</v>
      </c>
      <c r="T30" s="3768" t="s">
        <v>13</v>
      </c>
      <c r="U30" s="3771">
        <f t="shared" si="13"/>
        <v>100</v>
      </c>
      <c r="V30" s="3768" t="s">
        <v>13</v>
      </c>
      <c r="W30" s="3771">
        <f t="shared" si="14"/>
        <v>100</v>
      </c>
      <c r="X30" s="909"/>
      <c r="Y30" s="4554"/>
      <c r="Z30" s="907" t="str">
        <f t="shared" si="15"/>
        <v>物业等级</v>
      </c>
      <c r="AA30" s="907">
        <f t="shared" si="3"/>
        <v>1</v>
      </c>
      <c r="AB30" s="907">
        <f t="shared" si="4"/>
        <v>1</v>
      </c>
      <c r="AC30" s="907">
        <f t="shared" si="5"/>
        <v>1</v>
      </c>
    </row>
    <row r="31" spans="1:29" s="46" customFormat="1" ht="15.5">
      <c r="A31" s="426"/>
      <c r="B31" s="422" t="s">
        <v>1748</v>
      </c>
      <c r="C31" s="278"/>
      <c r="D31" s="2900">
        <v>100</v>
      </c>
      <c r="E31" s="278"/>
      <c r="F31" s="908" t="e">
        <f>LOOKUP(E31,91:91,92:92)-LOOKUP(C31,91:91,92:92)+100</f>
        <v>#N/A</v>
      </c>
      <c r="G31" s="278"/>
      <c r="H31" s="3752" t="e">
        <f>LOOKUP(G31,91:91,92:92)-LOOKUP(C31,91:91,92:92)+100</f>
        <v>#N/A</v>
      </c>
      <c r="I31" s="278"/>
      <c r="J31" s="3752" t="e">
        <f>LOOKUP(I31,91:91,92:92)-LOOKUP(C31,91:91,92:92)+100</f>
        <v>#N/A</v>
      </c>
      <c r="K31" s="394"/>
      <c r="L31" s="1976"/>
      <c r="M31" s="1929"/>
      <c r="N31" s="1929"/>
      <c r="O31" s="1929"/>
      <c r="P31" s="4554"/>
      <c r="Q31" s="389" t="str">
        <f t="shared" si="11"/>
        <v>停车位面积</v>
      </c>
      <c r="R31" s="3767" t="s">
        <v>13</v>
      </c>
      <c r="S31" s="3770" t="e">
        <f t="shared" si="12"/>
        <v>#N/A</v>
      </c>
      <c r="T31" s="3767" t="s">
        <v>13</v>
      </c>
      <c r="U31" s="3770" t="e">
        <f t="shared" si="13"/>
        <v>#N/A</v>
      </c>
      <c r="V31" s="3767" t="s">
        <v>13</v>
      </c>
      <c r="W31" s="3770" t="e">
        <f t="shared" si="14"/>
        <v>#N/A</v>
      </c>
      <c r="X31" s="482"/>
      <c r="Y31" s="4554"/>
      <c r="Z31" s="28" t="str">
        <f t="shared" si="15"/>
        <v>停车位面积</v>
      </c>
      <c r="AA31" s="28" t="e">
        <f t="shared" si="3"/>
        <v>#N/A</v>
      </c>
      <c r="AB31" s="28" t="e">
        <f t="shared" si="4"/>
        <v>#N/A</v>
      </c>
      <c r="AC31" s="28" t="e">
        <f t="shared" si="5"/>
        <v>#N/A</v>
      </c>
    </row>
    <row r="32" spans="1:29" ht="15.5">
      <c r="A32" s="424"/>
      <c r="B32" s="422" t="s">
        <v>1749</v>
      </c>
      <c r="C32" s="275"/>
      <c r="D32" s="2902">
        <v>100</v>
      </c>
      <c r="E32" s="275"/>
      <c r="F32" s="908">
        <f>SUMIF(93:93,E32,94:94)-SUMIF(93:93,C32,94:94)+100</f>
        <v>100</v>
      </c>
      <c r="G32" s="275"/>
      <c r="H32" s="3752">
        <f>SUMIF(93:93,G32,94:94)-SUMIF(93:93,C32,94:94)+100</f>
        <v>100</v>
      </c>
      <c r="I32" s="275"/>
      <c r="J32" s="3752">
        <f>SUMIF(93:93,I32,94:94)-SUMIF(93:93,C32,94:94)+100</f>
        <v>100</v>
      </c>
      <c r="K32" s="394"/>
      <c r="L32" s="1980"/>
      <c r="M32" s="1975"/>
      <c r="N32" s="1975"/>
      <c r="O32" s="1975"/>
      <c r="P32" s="4554" t="s">
        <v>1603</v>
      </c>
      <c r="Q32" s="906" t="str">
        <f t="shared" si="11"/>
        <v>车位类型</v>
      </c>
      <c r="R32" s="3768" t="s">
        <v>13</v>
      </c>
      <c r="S32" s="3771">
        <f t="shared" si="12"/>
        <v>100</v>
      </c>
      <c r="T32" s="3768" t="s">
        <v>13</v>
      </c>
      <c r="U32" s="3771">
        <f t="shared" si="13"/>
        <v>100</v>
      </c>
      <c r="V32" s="3768" t="s">
        <v>13</v>
      </c>
      <c r="W32" s="3771">
        <f t="shared" si="14"/>
        <v>100</v>
      </c>
      <c r="X32" s="909"/>
      <c r="Y32" s="4554" t="s">
        <v>1603</v>
      </c>
      <c r="Z32" s="907" t="str">
        <f t="shared" si="15"/>
        <v>车位类型</v>
      </c>
      <c r="AA32" s="907">
        <f t="shared" si="3"/>
        <v>1</v>
      </c>
      <c r="AB32" s="907">
        <f t="shared" si="4"/>
        <v>1</v>
      </c>
      <c r="AC32" s="907">
        <f t="shared" si="5"/>
        <v>1</v>
      </c>
    </row>
    <row r="33" spans="1:29" ht="15.5">
      <c r="A33" s="424"/>
      <c r="B33" s="422" t="s">
        <v>1750</v>
      </c>
      <c r="C33" s="275"/>
      <c r="D33" s="2902">
        <v>100</v>
      </c>
      <c r="E33" s="275"/>
      <c r="F33" s="908">
        <f>SUMIF(95:95,E33,96:96)-SUMIF(95:95,C33,96:96)+100</f>
        <v>100</v>
      </c>
      <c r="G33" s="275"/>
      <c r="H33" s="3752">
        <f>SUMIF(95:95,G33,96:96)-SUMIF(95:95,C33,96:96)+100</f>
        <v>100</v>
      </c>
      <c r="I33" s="275"/>
      <c r="J33" s="3752">
        <f>SUMIF(95:95,I33,96:96)-SUMIF(95:95,C33,96:96)+100</f>
        <v>100</v>
      </c>
      <c r="K33" s="394"/>
      <c r="L33" s="1980"/>
      <c r="M33" s="1975"/>
      <c r="N33" s="1975"/>
      <c r="O33" s="1975"/>
      <c r="P33" s="4554"/>
      <c r="Q33" s="906" t="str">
        <f t="shared" si="11"/>
        <v>是否直接入户</v>
      </c>
      <c r="R33" s="3768" t="s">
        <v>13</v>
      </c>
      <c r="S33" s="3771">
        <f t="shared" si="12"/>
        <v>100</v>
      </c>
      <c r="T33" s="3768" t="s">
        <v>13</v>
      </c>
      <c r="U33" s="3771">
        <f t="shared" si="13"/>
        <v>100</v>
      </c>
      <c r="V33" s="3768" t="s">
        <v>13</v>
      </c>
      <c r="W33" s="3771">
        <f t="shared" si="14"/>
        <v>100</v>
      </c>
      <c r="X33" s="909"/>
      <c r="Y33" s="4554"/>
      <c r="Z33" s="907" t="str">
        <f t="shared" si="15"/>
        <v>是否直接入户</v>
      </c>
      <c r="AA33" s="907">
        <f t="shared" si="3"/>
        <v>1</v>
      </c>
      <c r="AB33" s="907">
        <f t="shared" si="4"/>
        <v>1</v>
      </c>
      <c r="AC33" s="907">
        <f t="shared" si="5"/>
        <v>1</v>
      </c>
    </row>
    <row r="34" spans="1:29" ht="15.5">
      <c r="A34" s="424"/>
      <c r="B34" s="311">
        <v>111</v>
      </c>
      <c r="C34" s="258"/>
      <c r="D34" s="2902">
        <v>100</v>
      </c>
      <c r="E34" s="258"/>
      <c r="F34" s="908">
        <f>SUMIF(97:97,E34,98:98)-SUMIF(97:97,C34,98:98)+100</f>
        <v>100</v>
      </c>
      <c r="G34" s="258"/>
      <c r="H34" s="3752">
        <f>SUMIF(97:97,G34,98:98)-SUMIF(97:97,C34,98:98)+100</f>
        <v>100</v>
      </c>
      <c r="I34" s="258"/>
      <c r="J34" s="3752">
        <f>SUMIF(97:97,I34,98:98)-SUMIF(97:97,C34,98:98)+100</f>
        <v>100</v>
      </c>
      <c r="K34" s="395"/>
      <c r="L34" s="1980"/>
      <c r="M34" s="1975"/>
      <c r="N34" s="1975"/>
      <c r="O34" s="1975"/>
      <c r="P34" s="4554"/>
      <c r="Q34" s="906">
        <f t="shared" si="11"/>
        <v>111</v>
      </c>
      <c r="R34" s="3768" t="s">
        <v>13</v>
      </c>
      <c r="S34" s="3771">
        <f t="shared" si="12"/>
        <v>100</v>
      </c>
      <c r="T34" s="3768" t="s">
        <v>13</v>
      </c>
      <c r="U34" s="3771">
        <f t="shared" si="13"/>
        <v>100</v>
      </c>
      <c r="V34" s="3768" t="s">
        <v>13</v>
      </c>
      <c r="W34" s="3771">
        <f t="shared" si="14"/>
        <v>100</v>
      </c>
      <c r="X34" s="909"/>
      <c r="Y34" s="4554"/>
      <c r="Z34" s="907">
        <f t="shared" si="15"/>
        <v>111</v>
      </c>
      <c r="AA34" s="907">
        <f t="shared" si="3"/>
        <v>1</v>
      </c>
      <c r="AB34" s="907">
        <f t="shared" si="4"/>
        <v>1</v>
      </c>
      <c r="AC34" s="907">
        <f t="shared" si="5"/>
        <v>1</v>
      </c>
    </row>
    <row r="35" spans="1:29" s="279" customFormat="1" ht="15.5">
      <c r="A35" s="421"/>
      <c r="B35" s="311">
        <v>111</v>
      </c>
      <c r="C35" s="258"/>
      <c r="D35" s="2902">
        <v>100</v>
      </c>
      <c r="E35" s="258"/>
      <c r="F35" s="908">
        <f>SUMIF(99:99,E35,100:100)-SUMIF(99:99,C35,100:100)+100</f>
        <v>100</v>
      </c>
      <c r="G35" s="258"/>
      <c r="H35" s="3752">
        <f>SUMIF(99:99,G35,100:100)-SUMIF(99:99,C35,100:100)+100</f>
        <v>100</v>
      </c>
      <c r="I35" s="258"/>
      <c r="J35" s="3752">
        <f>SUMIF(99:99,I35,100:100)-SUMIF(99:99,C35,100:100)+100</f>
        <v>100</v>
      </c>
      <c r="K35" s="395"/>
      <c r="L35" s="1979"/>
      <c r="M35" s="1981"/>
      <c r="N35" s="1981"/>
      <c r="O35" s="1981"/>
      <c r="P35" s="4554"/>
      <c r="Q35" s="483">
        <f t="shared" si="11"/>
        <v>111</v>
      </c>
      <c r="R35" s="3769" t="s">
        <v>13</v>
      </c>
      <c r="S35" s="3772">
        <f t="shared" si="12"/>
        <v>100</v>
      </c>
      <c r="T35" s="3769" t="s">
        <v>13</v>
      </c>
      <c r="U35" s="3772">
        <f t="shared" si="13"/>
        <v>100</v>
      </c>
      <c r="V35" s="3769" t="s">
        <v>13</v>
      </c>
      <c r="W35" s="3772">
        <f t="shared" si="14"/>
        <v>100</v>
      </c>
      <c r="X35" s="484"/>
      <c r="Y35" s="4554"/>
      <c r="Z35" s="485">
        <f t="shared" si="15"/>
        <v>111</v>
      </c>
      <c r="AA35" s="907">
        <f t="shared" si="3"/>
        <v>1</v>
      </c>
      <c r="AB35" s="907">
        <f t="shared" si="4"/>
        <v>1</v>
      </c>
      <c r="AC35" s="907">
        <f t="shared" si="5"/>
        <v>1</v>
      </c>
    </row>
    <row r="36" spans="1:29" ht="16" thickBot="1">
      <c r="A36" s="427"/>
      <c r="B36" s="409">
        <v>111</v>
      </c>
      <c r="C36" s="259"/>
      <c r="D36" s="2902">
        <v>100</v>
      </c>
      <c r="E36" s="258"/>
      <c r="F36" s="908">
        <f>SUMIF(101:101,E36,102:102)-SUMIF(101:101,C36,102:102)+100</f>
        <v>100</v>
      </c>
      <c r="G36" s="258"/>
      <c r="H36" s="3752">
        <f>SUMIF(101:101,G36,102:102)-SUMIF(101:101,C36,102:102)+100</f>
        <v>100</v>
      </c>
      <c r="I36" s="258"/>
      <c r="J36" s="3752">
        <f>SUMIF(101:101,I36,102:102)-SUMIF(101:101,C36,102:102)+100</f>
        <v>100</v>
      </c>
      <c r="K36" s="395"/>
      <c r="L36" s="1980"/>
      <c r="M36" s="1975"/>
      <c r="N36" s="1975"/>
      <c r="O36" s="1975"/>
      <c r="P36" s="4554"/>
      <c r="Q36" s="906">
        <f t="shared" si="11"/>
        <v>111</v>
      </c>
      <c r="R36" s="3768" t="s">
        <v>13</v>
      </c>
      <c r="S36" s="3771">
        <f t="shared" si="12"/>
        <v>100</v>
      </c>
      <c r="T36" s="3768" t="s">
        <v>13</v>
      </c>
      <c r="U36" s="3771">
        <f t="shared" si="13"/>
        <v>100</v>
      </c>
      <c r="V36" s="3768" t="s">
        <v>13</v>
      </c>
      <c r="W36" s="3771">
        <f t="shared" si="14"/>
        <v>100</v>
      </c>
      <c r="X36" s="909"/>
      <c r="Y36" s="4554"/>
      <c r="Z36" s="907">
        <f t="shared" si="15"/>
        <v>111</v>
      </c>
      <c r="AA36" s="907">
        <f t="shared" si="3"/>
        <v>1</v>
      </c>
      <c r="AB36" s="907">
        <f t="shared" si="4"/>
        <v>1</v>
      </c>
      <c r="AC36" s="907">
        <f t="shared" si="5"/>
        <v>1</v>
      </c>
    </row>
    <row r="37" spans="1:29">
      <c r="A37" s="286" t="s">
        <v>1751</v>
      </c>
      <c r="B37" s="1426" t="s">
        <v>3240</v>
      </c>
      <c r="C37" s="765" t="s">
        <v>0</v>
      </c>
      <c r="D37" s="288"/>
      <c r="E37" s="3205"/>
      <c r="F37" s="3153"/>
      <c r="G37" s="3206"/>
      <c r="H37" s="3154"/>
      <c r="I37" s="3205"/>
      <c r="J37" s="3154"/>
      <c r="K37" s="3207"/>
      <c r="L37" s="1982"/>
      <c r="M37" s="1975"/>
      <c r="N37" s="1975"/>
      <c r="O37" s="1975"/>
      <c r="P37" s="4660" t="str">
        <f>A37</f>
        <v>成交单价</v>
      </c>
      <c r="Q37" s="4660"/>
      <c r="R37" s="4599">
        <f>E37</f>
        <v>0</v>
      </c>
      <c r="S37" s="4599"/>
      <c r="T37" s="4599">
        <f>G37</f>
        <v>0</v>
      </c>
      <c r="U37" s="4599"/>
      <c r="V37" s="4599">
        <f>I37</f>
        <v>0</v>
      </c>
      <c r="W37" s="4599"/>
      <c r="X37" s="265"/>
      <c r="Y37" s="486"/>
      <c r="Z37" s="265"/>
      <c r="AA37" s="265"/>
      <c r="AB37" s="265"/>
      <c r="AC37" s="265"/>
    </row>
    <row r="38" spans="1:29" ht="14.5" thickBot="1">
      <c r="A38" s="289" t="s">
        <v>1752</v>
      </c>
      <c r="B38" s="290" t="str">
        <f>B37</f>
        <v>元/平方米</v>
      </c>
      <c r="C38" s="3734" t="e">
        <f>R39</f>
        <v>#DIV/0!</v>
      </c>
      <c r="D38" s="3847" t="s">
        <v>2042</v>
      </c>
      <c r="E38" s="3745" t="e">
        <f>R38</f>
        <v>#DIV/0!</v>
      </c>
      <c r="F38" s="2801"/>
      <c r="G38" s="3734" t="e">
        <f>T38</f>
        <v>#DIV/0!</v>
      </c>
      <c r="H38" s="2801"/>
      <c r="I38" s="3745" t="e">
        <f>V38</f>
        <v>#DIV/0!</v>
      </c>
      <c r="J38" s="2801"/>
      <c r="K38" s="2855">
        <f>F38+H38+J38</f>
        <v>0</v>
      </c>
      <c r="L38" s="1982"/>
      <c r="M38" s="1975"/>
      <c r="N38" s="1975"/>
      <c r="O38" s="1975"/>
      <c r="P38" s="4660" t="str">
        <f>A38</f>
        <v>比较价值（元/平方米）</v>
      </c>
      <c r="Q38" s="4660"/>
      <c r="R38" s="4599" t="e">
        <f>IF(F1="售价",ROUND(PRODUCT(R37,AA7:AA36),0),ROUND(PRODUCT(R37,AA7:AA36),1))</f>
        <v>#DIV/0!</v>
      </c>
      <c r="S38" s="4599"/>
      <c r="T38" s="4599" t="e">
        <f>IF(F1="售价",ROUND(PRODUCT(T37,AB7:AB36),0),ROUND(PRODUCT(T37,AB7:AB36),1))</f>
        <v>#DIV/0!</v>
      </c>
      <c r="U38" s="4599"/>
      <c r="V38" s="4599" t="e">
        <f>IF(F1="售价",ROUND(PRODUCT(V37,AC7:AC36),0),ROUND(PRODUCT(V37,AC7:AC36),1))</f>
        <v>#DIV/0!</v>
      </c>
      <c r="W38" s="4599"/>
      <c r="X38" s="265"/>
      <c r="Y38" s="265"/>
      <c r="Z38" s="265"/>
      <c r="AA38" s="265"/>
      <c r="AB38" s="265"/>
      <c r="AC38" s="265"/>
    </row>
    <row r="39" spans="1:29" ht="14.5" thickBot="1">
      <c r="A39" s="291" t="s">
        <v>1753</v>
      </c>
      <c r="B39" s="292"/>
      <c r="C39" s="3746" t="e">
        <f>R39</f>
        <v>#DIV/0!</v>
      </c>
      <c r="D39" s="241"/>
      <c r="E39" s="241"/>
      <c r="F39" s="241"/>
      <c r="G39" s="241"/>
      <c r="H39" s="241"/>
      <c r="I39" s="241"/>
      <c r="J39" s="241"/>
      <c r="K39" s="399"/>
      <c r="L39" s="1982"/>
      <c r="M39" s="1975"/>
      <c r="N39" s="1975"/>
      <c r="O39" s="1975"/>
      <c r="P39" s="4661" t="str">
        <f>A39</f>
        <v>估价对象XX用房的比较价值（楼面单价，元/平方米）</v>
      </c>
      <c r="Q39" s="4662"/>
      <c r="R39" s="4663" t="e">
        <f>IF(F1="售价",ROUND(IF(D38="简单平均",AVERAGE(R38:W38),R38*F38+T38*H38+V38*J38),0),ROUND(IF(D38="简单平均",AVERAGE(R38:V38),R38*F38+T38*H38+V38*J38),1))</f>
        <v>#DIV/0!</v>
      </c>
      <c r="S39" s="4663"/>
      <c r="T39" s="4663"/>
      <c r="U39" s="4663"/>
      <c r="V39" s="4663"/>
      <c r="W39" s="466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8.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4.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4.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4.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4.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8.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4.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4.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4.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4.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4.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8" t="s">
        <v>3476</v>
      </c>
      <c r="F3" s="3849">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c r="A4" s="235" t="s">
        <v>1676</v>
      </c>
      <c r="B4" s="236"/>
      <c r="C4" s="4606" t="s">
        <v>1677</v>
      </c>
      <c r="D4" s="4607"/>
      <c r="E4" s="4608" t="s">
        <v>1678</v>
      </c>
      <c r="F4" s="4609"/>
      <c r="G4" s="4606" t="s">
        <v>1679</v>
      </c>
      <c r="H4" s="4607"/>
      <c r="I4" s="4606" t="s">
        <v>1680</v>
      </c>
      <c r="J4" s="4607"/>
      <c r="K4" s="393" t="s">
        <v>1681</v>
      </c>
      <c r="L4" s="1974"/>
      <c r="M4" s="1975"/>
      <c r="N4" s="1975"/>
      <c r="O4" s="1975"/>
      <c r="P4" s="4665" t="s">
        <v>1682</v>
      </c>
      <c r="Q4" s="4666"/>
      <c r="R4" s="4588" t="s">
        <v>1678</v>
      </c>
      <c r="S4" s="4589"/>
      <c r="T4" s="4588" t="s">
        <v>1679</v>
      </c>
      <c r="U4" s="4589"/>
      <c r="V4" s="4599" t="s">
        <v>1680</v>
      </c>
      <c r="W4" s="4599"/>
      <c r="X4" s="909"/>
      <c r="Y4" s="4588" t="s">
        <v>1682</v>
      </c>
      <c r="Z4" s="4589"/>
      <c r="AA4" s="4560" t="s">
        <v>1678</v>
      </c>
      <c r="AB4" s="4561" t="s">
        <v>1679</v>
      </c>
      <c r="AC4" s="4560" t="s">
        <v>1680</v>
      </c>
    </row>
    <row r="5" spans="1:29">
      <c r="A5" s="238"/>
      <c r="B5" s="239"/>
      <c r="C5" s="4657" t="s">
        <v>1580</v>
      </c>
      <c r="D5" s="4623"/>
      <c r="E5" s="4658" t="s">
        <v>1581</v>
      </c>
      <c r="F5" s="4659"/>
      <c r="G5" s="4657" t="s">
        <v>1582</v>
      </c>
      <c r="H5" s="4623"/>
      <c r="I5" s="4657" t="s">
        <v>1583</v>
      </c>
      <c r="J5" s="4623"/>
      <c r="K5" s="393"/>
      <c r="L5" s="1974"/>
      <c r="M5" s="1975"/>
      <c r="N5" s="1975"/>
      <c r="O5" s="1975"/>
      <c r="P5" s="4667"/>
      <c r="Q5" s="4668"/>
      <c r="R5" s="4590"/>
      <c r="S5" s="4591"/>
      <c r="T5" s="4590"/>
      <c r="U5" s="4591"/>
      <c r="V5" s="4599"/>
      <c r="W5" s="4599"/>
      <c r="X5" s="909"/>
      <c r="Y5" s="4590"/>
      <c r="Z5" s="4591"/>
      <c r="AA5" s="4561"/>
      <c r="AB5" s="4561"/>
      <c r="AC5" s="4561"/>
    </row>
    <row r="6" spans="1:29" ht="15" thickBot="1">
      <c r="A6" s="240"/>
      <c r="B6" s="241"/>
      <c r="C6" s="4624" t="s">
        <v>1584</v>
      </c>
      <c r="D6" s="4618"/>
      <c r="E6" s="4625" t="s">
        <v>1584</v>
      </c>
      <c r="F6" s="4626"/>
      <c r="G6" s="4624" t="s">
        <v>1584</v>
      </c>
      <c r="H6" s="4618"/>
      <c r="I6" s="4624" t="s">
        <v>1584</v>
      </c>
      <c r="J6" s="4618"/>
      <c r="K6" s="393" t="s">
        <v>1585</v>
      </c>
      <c r="L6" s="1974"/>
      <c r="M6" s="1975"/>
      <c r="N6" s="1975"/>
      <c r="O6" s="1975"/>
      <c r="P6" s="4669"/>
      <c r="Q6" s="4670"/>
      <c r="R6" s="4590"/>
      <c r="S6" s="4591"/>
      <c r="T6" s="4592"/>
      <c r="U6" s="4593"/>
      <c r="V6" s="4599"/>
      <c r="W6" s="4599"/>
      <c r="X6" s="909"/>
      <c r="Y6" s="4592"/>
      <c r="Z6" s="4593"/>
      <c r="AA6" s="4562"/>
      <c r="AB6" s="4562"/>
      <c r="AC6" s="4562"/>
    </row>
    <row r="7" spans="1:29" s="46" customFormat="1" ht="14.5" thickBot="1">
      <c r="A7" s="242" t="s">
        <v>1586</v>
      </c>
      <c r="B7" s="243"/>
      <c r="C7" s="244">
        <f>'数据-取费表'!B2</f>
        <v>46090</v>
      </c>
      <c r="D7" s="2898">
        <v>100</v>
      </c>
      <c r="E7" s="245"/>
      <c r="F7" s="3748">
        <f>SUMIF(46:46,YEAR(E7)&amp;"-"&amp;MONTH(E7),47:47)</f>
        <v>0</v>
      </c>
      <c r="G7" s="1427"/>
      <c r="H7" s="3754">
        <f>SUMIF(46:46,YEAR(G7)&amp;"-"&amp;MONTH(G7),47:47)</f>
        <v>0</v>
      </c>
      <c r="I7" s="245"/>
      <c r="J7" s="3754">
        <f>SUMIF(46:46,YEAR(I7)&amp;"-"&amp;MONTH(I7),47:47)</f>
        <v>0</v>
      </c>
      <c r="K7" s="22"/>
      <c r="L7" s="1976"/>
      <c r="M7" s="1929"/>
      <c r="N7" s="1929"/>
      <c r="O7" s="1929"/>
      <c r="P7" s="4586" t="s">
        <v>1587</v>
      </c>
      <c r="Q7" s="4671"/>
      <c r="R7" s="3767" t="s">
        <v>13</v>
      </c>
      <c r="S7" s="3770">
        <f t="shared" ref="S7:S14" si="0">F7</f>
        <v>0</v>
      </c>
      <c r="T7" s="3767" t="s">
        <v>13</v>
      </c>
      <c r="U7" s="3770">
        <f t="shared" ref="U7:U14" si="1">H7</f>
        <v>0</v>
      </c>
      <c r="V7" s="3767" t="s">
        <v>13</v>
      </c>
      <c r="W7" s="3770">
        <f t="shared" ref="W7:W14" si="2">J7</f>
        <v>0</v>
      </c>
      <c r="X7" s="482"/>
      <c r="Y7" s="4586" t="s">
        <v>1587</v>
      </c>
      <c r="Z7" s="4587"/>
      <c r="AA7" s="28" t="e">
        <f>D7/F7</f>
        <v>#DIV/0!</v>
      </c>
      <c r="AB7" s="28" t="e">
        <f>D7/H7</f>
        <v>#DIV/0!</v>
      </c>
      <c r="AC7" s="28" t="e">
        <f>D7/J7</f>
        <v>#DIV/0!</v>
      </c>
    </row>
    <row r="8" spans="1:29" s="46" customFormat="1" ht="14.5" thickBot="1">
      <c r="A8" s="242" t="s">
        <v>1588</v>
      </c>
      <c r="B8" s="243"/>
      <c r="C8" s="246"/>
      <c r="D8" s="2898">
        <v>100</v>
      </c>
      <c r="E8" s="246"/>
      <c r="F8" s="3748">
        <f>SUMIF(49:49,E8,50:50)-SUMIF(49:49,C8,50:50)+100</f>
        <v>100</v>
      </c>
      <c r="G8" s="246"/>
      <c r="H8" s="3754">
        <f>SUMIF(49:49,G8,50:50)-SUMIF(49:49,C8,50:50)+100</f>
        <v>100</v>
      </c>
      <c r="I8" s="246"/>
      <c r="J8" s="3754">
        <f>SUMIF(49:49,I8,50:50)-SUMIF(49:49,C8,50:50)+100</f>
        <v>100</v>
      </c>
      <c r="K8" s="22"/>
      <c r="L8" s="1976"/>
      <c r="M8" s="1929"/>
      <c r="N8" s="1929"/>
      <c r="O8" s="1929"/>
      <c r="P8" s="4586" t="s">
        <v>1590</v>
      </c>
      <c r="Q8" s="4587"/>
      <c r="R8" s="3767" t="s">
        <v>13</v>
      </c>
      <c r="S8" s="3770">
        <f t="shared" si="0"/>
        <v>100</v>
      </c>
      <c r="T8" s="3767" t="s">
        <v>13</v>
      </c>
      <c r="U8" s="3770">
        <f t="shared" si="1"/>
        <v>100</v>
      </c>
      <c r="V8" s="3767" t="s">
        <v>13</v>
      </c>
      <c r="W8" s="3770">
        <f t="shared" si="2"/>
        <v>100</v>
      </c>
      <c r="X8" s="482"/>
      <c r="Y8" s="4586" t="s">
        <v>1590</v>
      </c>
      <c r="Z8" s="4587"/>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60" t="s">
        <v>1593</v>
      </c>
      <c r="Q9" s="389" t="str">
        <f t="shared" ref="Q9:Q14" si="6">B9</f>
        <v>用途</v>
      </c>
      <c r="R9" s="3767" t="s">
        <v>13</v>
      </c>
      <c r="S9" s="3770">
        <f t="shared" si="0"/>
        <v>100</v>
      </c>
      <c r="T9" s="3767" t="s">
        <v>13</v>
      </c>
      <c r="U9" s="3770">
        <f t="shared" si="1"/>
        <v>100</v>
      </c>
      <c r="V9" s="3767" t="s">
        <v>13</v>
      </c>
      <c r="W9" s="3770">
        <f t="shared" si="2"/>
        <v>100</v>
      </c>
      <c r="X9" s="482"/>
      <c r="Y9" s="4559" t="s">
        <v>1594</v>
      </c>
      <c r="Z9" s="28" t="str">
        <f t="shared" ref="Z9:Z14" si="7">Q9</f>
        <v>用途</v>
      </c>
      <c r="AA9" s="28">
        <f t="shared" si="3"/>
        <v>1</v>
      </c>
      <c r="AB9" s="28">
        <f t="shared" si="4"/>
        <v>1</v>
      </c>
      <c r="AC9" s="28">
        <f t="shared" si="5"/>
        <v>1</v>
      </c>
    </row>
    <row r="10" spans="1:29" s="253" customFormat="1" ht="28">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60"/>
      <c r="Q10" s="389" t="str">
        <f t="shared" si="6"/>
        <v>土地使用年限（年）</v>
      </c>
      <c r="R10" s="3767" t="s">
        <v>13</v>
      </c>
      <c r="S10" s="3770">
        <f t="shared" si="0"/>
        <v>100</v>
      </c>
      <c r="T10" s="3767" t="s">
        <v>13</v>
      </c>
      <c r="U10" s="3770">
        <f t="shared" si="1"/>
        <v>100</v>
      </c>
      <c r="V10" s="3767" t="s">
        <v>13</v>
      </c>
      <c r="W10" s="3770">
        <f t="shared" si="2"/>
        <v>100</v>
      </c>
      <c r="X10" s="482"/>
      <c r="Y10" s="4559"/>
      <c r="Z10" s="28" t="str">
        <f t="shared" si="7"/>
        <v>土地使用年限（年）</v>
      </c>
      <c r="AA10" s="28">
        <f t="shared" si="3"/>
        <v>1</v>
      </c>
      <c r="AB10" s="28">
        <f t="shared" si="4"/>
        <v>1</v>
      </c>
      <c r="AC10" s="28">
        <f t="shared" si="5"/>
        <v>1</v>
      </c>
    </row>
    <row r="11" spans="1:29" ht="15.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60"/>
      <c r="Q11" s="389">
        <f t="shared" si="6"/>
        <v>111</v>
      </c>
      <c r="R11" s="3767" t="s">
        <v>13</v>
      </c>
      <c r="S11" s="3770">
        <f t="shared" si="0"/>
        <v>100</v>
      </c>
      <c r="T11" s="3767" t="s">
        <v>13</v>
      </c>
      <c r="U11" s="3770">
        <f t="shared" si="1"/>
        <v>100</v>
      </c>
      <c r="V11" s="3767" t="s">
        <v>13</v>
      </c>
      <c r="W11" s="3770">
        <f t="shared" si="2"/>
        <v>100</v>
      </c>
      <c r="X11" s="482"/>
      <c r="Y11" s="4559"/>
      <c r="Z11" s="28">
        <f t="shared" si="7"/>
        <v>111</v>
      </c>
      <c r="AA11" s="28">
        <f t="shared" si="3"/>
        <v>1</v>
      </c>
      <c r="AB11" s="28">
        <f t="shared" si="4"/>
        <v>1</v>
      </c>
      <c r="AC11" s="28">
        <f t="shared" si="5"/>
        <v>1</v>
      </c>
    </row>
    <row r="12" spans="1:29" s="46" customFormat="1" ht="15.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60"/>
      <c r="Q12" s="389">
        <f t="shared" si="6"/>
        <v>111</v>
      </c>
      <c r="R12" s="3767" t="s">
        <v>13</v>
      </c>
      <c r="S12" s="3770">
        <f t="shared" si="0"/>
        <v>100</v>
      </c>
      <c r="T12" s="3767" t="s">
        <v>13</v>
      </c>
      <c r="U12" s="3770">
        <f t="shared" si="1"/>
        <v>100</v>
      </c>
      <c r="V12" s="3767" t="s">
        <v>13</v>
      </c>
      <c r="W12" s="3770">
        <f t="shared" si="2"/>
        <v>100</v>
      </c>
      <c r="X12" s="482"/>
      <c r="Y12" s="4559"/>
      <c r="Z12" s="28">
        <f t="shared" si="7"/>
        <v>111</v>
      </c>
      <c r="AA12" s="28">
        <f>D12/F12</f>
        <v>1</v>
      </c>
      <c r="AB12" s="28">
        <f>D12/H12</f>
        <v>1</v>
      </c>
      <c r="AC12" s="28">
        <f>D12/J12</f>
        <v>1</v>
      </c>
    </row>
    <row r="13" spans="1:29" ht="16" thickBot="1">
      <c r="A13" s="254"/>
      <c r="B13" s="310">
        <v>111</v>
      </c>
      <c r="C13" s="259"/>
      <c r="D13" s="2902">
        <v>100</v>
      </c>
      <c r="E13" s="278"/>
      <c r="F13" s="252">
        <f>SUMIF(59:59,E13,60:60)-SUMIF(59:59,C13,60:60)+100</f>
        <v>100</v>
      </c>
      <c r="G13" s="1428"/>
      <c r="H13" s="3749">
        <f>SUMIF(59:59,G13,60:60)-SUMIF(59:59,C13,60:60)+100</f>
        <v>100</v>
      </c>
      <c r="I13" s="278"/>
      <c r="J13" s="3752">
        <f>SUMIF(59:59,I13,60:60)-SUMIF(59:59,C13,60:60)+100</f>
        <v>100</v>
      </c>
      <c r="K13" s="395"/>
      <c r="L13" s="1980"/>
      <c r="M13" s="1975"/>
      <c r="N13" s="1975"/>
      <c r="O13" s="2030"/>
      <c r="P13" s="4660"/>
      <c r="Q13" s="389">
        <f t="shared" si="6"/>
        <v>111</v>
      </c>
      <c r="R13" s="3767" t="s">
        <v>13</v>
      </c>
      <c r="S13" s="3770">
        <f t="shared" si="0"/>
        <v>100</v>
      </c>
      <c r="T13" s="3767" t="s">
        <v>13</v>
      </c>
      <c r="U13" s="3770">
        <f t="shared" si="1"/>
        <v>100</v>
      </c>
      <c r="V13" s="3767" t="s">
        <v>13</v>
      </c>
      <c r="W13" s="3770">
        <f t="shared" si="2"/>
        <v>100</v>
      </c>
      <c r="X13" s="482"/>
      <c r="Y13" s="4559"/>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4">
        <v>100</v>
      </c>
      <c r="E14" s="263"/>
      <c r="F14" s="3756">
        <f>SUMIF(61:61,E15,62:62)-SUMIF(61:61,C15,62:62)+100</f>
        <v>100</v>
      </c>
      <c r="G14" s="264"/>
      <c r="H14" s="3750">
        <f>SUMIF(61:61,G15,62:62)-SUMIF(61:61,C15,62:62)+100</f>
        <v>100</v>
      </c>
      <c r="I14" s="263"/>
      <c r="J14" s="3750">
        <f>SUMIF(61:61,I15,62:62)-SUMIF(61:61,C15,62:62)+100</f>
        <v>100</v>
      </c>
      <c r="K14" s="396"/>
      <c r="L14" s="1980"/>
      <c r="M14" s="1975"/>
      <c r="N14" s="1975"/>
      <c r="O14" s="2030"/>
      <c r="P14" s="4549" t="s">
        <v>1598</v>
      </c>
      <c r="Q14" s="906" t="str">
        <f t="shared" si="6"/>
        <v>交通便捷度</v>
      </c>
      <c r="R14" s="3768" t="s">
        <v>13</v>
      </c>
      <c r="S14" s="3771">
        <f t="shared" si="0"/>
        <v>100</v>
      </c>
      <c r="T14" s="3768" t="s">
        <v>13</v>
      </c>
      <c r="U14" s="3771">
        <f t="shared" si="1"/>
        <v>100</v>
      </c>
      <c r="V14" s="3768" t="s">
        <v>13</v>
      </c>
      <c r="W14" s="3771">
        <f t="shared" si="2"/>
        <v>100</v>
      </c>
      <c r="X14" s="909"/>
      <c r="Y14" s="4549" t="s">
        <v>1598</v>
      </c>
      <c r="Z14" s="907" t="str">
        <f t="shared" si="7"/>
        <v>交通便捷度</v>
      </c>
      <c r="AA14" s="907">
        <f t="shared" si="3"/>
        <v>1</v>
      </c>
      <c r="AB14" s="907">
        <f t="shared" si="4"/>
        <v>1</v>
      </c>
      <c r="AC14" s="907">
        <f t="shared" si="5"/>
        <v>1</v>
      </c>
    </row>
    <row r="15" spans="1:29" ht="15.5">
      <c r="A15" s="254"/>
      <c r="B15" s="265"/>
      <c r="C15" s="266"/>
      <c r="D15" s="2905"/>
      <c r="E15" s="266"/>
      <c r="F15" s="3757"/>
      <c r="G15" s="266"/>
      <c r="H15" s="268"/>
      <c r="I15" s="266"/>
      <c r="J15" s="267"/>
      <c r="K15" s="397"/>
      <c r="L15" s="1980"/>
      <c r="M15" s="1975"/>
      <c r="N15" s="1975"/>
      <c r="O15" s="2030"/>
      <c r="P15" s="4550"/>
      <c r="Q15" s="906"/>
      <c r="R15" s="3768"/>
      <c r="S15" s="3771"/>
      <c r="T15" s="3768"/>
      <c r="U15" s="3771"/>
      <c r="V15" s="3768"/>
      <c r="W15" s="3771"/>
      <c r="X15" s="909"/>
      <c r="Y15" s="4550"/>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7">
        <v>100</v>
      </c>
      <c r="E16" s="273"/>
      <c r="F16" s="3759">
        <f>SUMIF(63:63,E17,64:64)-SUMIF(63:63,C17,64:64)+100</f>
        <v>100</v>
      </c>
      <c r="G16" s="274"/>
      <c r="H16" s="3751">
        <f>SUMIF(63:63,G17,64:64)-SUMIF(63:63,C17,64:64)+100</f>
        <v>100</v>
      </c>
      <c r="I16" s="273"/>
      <c r="J16" s="3751">
        <f>SUMIF(63:63,I17,64:64)-SUMIF(63:63,C17,64:64)+100</f>
        <v>100</v>
      </c>
      <c r="K16" s="396"/>
      <c r="L16" s="1980"/>
      <c r="M16" s="1975"/>
      <c r="N16" s="1975"/>
      <c r="O16" s="2030"/>
      <c r="P16" s="4550"/>
      <c r="Q16" s="906" t="str">
        <f>B16</f>
        <v>公共配套设施</v>
      </c>
      <c r="R16" s="3768" t="s">
        <v>13</v>
      </c>
      <c r="S16" s="3771">
        <f>F16</f>
        <v>100</v>
      </c>
      <c r="T16" s="3768" t="s">
        <v>13</v>
      </c>
      <c r="U16" s="3771">
        <f>H16</f>
        <v>100</v>
      </c>
      <c r="V16" s="3768" t="s">
        <v>13</v>
      </c>
      <c r="W16" s="3771">
        <f>J16</f>
        <v>100</v>
      </c>
      <c r="X16" s="909"/>
      <c r="Y16" s="4550"/>
      <c r="Z16" s="907" t="str">
        <f>Q16</f>
        <v>公共配套设施</v>
      </c>
      <c r="AA16" s="907">
        <f t="shared" si="3"/>
        <v>1</v>
      </c>
      <c r="AB16" s="907">
        <f t="shared" si="4"/>
        <v>1</v>
      </c>
      <c r="AC16" s="907">
        <f t="shared" si="5"/>
        <v>1</v>
      </c>
    </row>
    <row r="17" spans="1:29" ht="15.5">
      <c r="A17" s="254"/>
      <c r="B17" s="272"/>
      <c r="C17" s="1365"/>
      <c r="D17" s="2905"/>
      <c r="E17" s="266"/>
      <c r="F17" s="3757"/>
      <c r="G17" s="266"/>
      <c r="H17" s="267"/>
      <c r="I17" s="266"/>
      <c r="J17" s="267"/>
      <c r="K17" s="397"/>
      <c r="L17" s="1980"/>
      <c r="M17" s="1975"/>
      <c r="N17" s="1975"/>
      <c r="O17" s="2030"/>
      <c r="P17" s="4550"/>
      <c r="Q17" s="906"/>
      <c r="R17" s="3768"/>
      <c r="S17" s="3771"/>
      <c r="T17" s="3768"/>
      <c r="U17" s="3771"/>
      <c r="V17" s="3768"/>
      <c r="W17" s="3771"/>
      <c r="X17" s="909"/>
      <c r="Y17" s="4550"/>
      <c r="Z17" s="907"/>
      <c r="AA17" s="907">
        <v>1</v>
      </c>
      <c r="AB17" s="907">
        <v>1</v>
      </c>
      <c r="AC17" s="907">
        <v>1</v>
      </c>
    </row>
    <row r="18" spans="1:29" ht="42">
      <c r="A18" s="254"/>
      <c r="B18" s="759" t="s">
        <v>1720</v>
      </c>
      <c r="C18" s="1364" t="str">
        <f>IF(B1="工业",估价对象房地状况!G6,估价对象房地状况!C8)</f>
        <v>估价对象所在区域基础设施水平</v>
      </c>
      <c r="D18" s="2907">
        <v>100</v>
      </c>
      <c r="E18" s="270"/>
      <c r="F18" s="3759">
        <f>SUMIF(65:65,E19,66:66)-SUMIF(65:65,C19,66:66)+100</f>
        <v>100</v>
      </c>
      <c r="G18" s="271"/>
      <c r="H18" s="3751">
        <f>SUMIF(65:65,G19,66:66)-SUMIF(65:65,C19,66:66)+100</f>
        <v>100</v>
      </c>
      <c r="I18" s="273"/>
      <c r="J18" s="3751">
        <f>SUMIF(65:65,I19,66:66)-SUMIF(65:65,C19,66:66)+100</f>
        <v>100</v>
      </c>
      <c r="K18" s="396"/>
      <c r="L18" s="1980"/>
      <c r="M18" s="1975"/>
      <c r="N18" s="1975"/>
      <c r="O18" s="2030"/>
      <c r="P18" s="4550"/>
      <c r="Q18" s="906" t="str">
        <f>B18</f>
        <v>基础设施水平</v>
      </c>
      <c r="R18" s="3768" t="s">
        <v>13</v>
      </c>
      <c r="S18" s="3771">
        <f>F18</f>
        <v>100</v>
      </c>
      <c r="T18" s="3768" t="s">
        <v>13</v>
      </c>
      <c r="U18" s="3771">
        <f>H18</f>
        <v>100</v>
      </c>
      <c r="V18" s="3768" t="s">
        <v>13</v>
      </c>
      <c r="W18" s="3771">
        <f>J18</f>
        <v>100</v>
      </c>
      <c r="X18" s="909"/>
      <c r="Y18" s="4550"/>
      <c r="Z18" s="907" t="str">
        <f>Q18</f>
        <v>基础设施水平</v>
      </c>
      <c r="AA18" s="907">
        <f t="shared" ref="AA18" si="8">D18/F18</f>
        <v>1</v>
      </c>
      <c r="AB18" s="907">
        <f t="shared" ref="AB18" si="9">D18/H18</f>
        <v>1</v>
      </c>
      <c r="AC18" s="907">
        <f t="shared" ref="AC18" si="10">D18/J18</f>
        <v>1</v>
      </c>
    </row>
    <row r="19" spans="1:29" ht="15.5">
      <c r="A19" s="254"/>
      <c r="B19" s="759"/>
      <c r="C19" s="1365"/>
      <c r="D19" s="2906"/>
      <c r="E19" s="1365"/>
      <c r="F19" s="3758"/>
      <c r="G19" s="1365"/>
      <c r="H19" s="267"/>
      <c r="I19" s="266"/>
      <c r="J19" s="267"/>
      <c r="K19" s="758"/>
      <c r="L19" s="1980"/>
      <c r="M19" s="1975"/>
      <c r="N19" s="1975"/>
      <c r="O19" s="2030"/>
      <c r="P19" s="4550"/>
      <c r="Q19" s="906"/>
      <c r="R19" s="3768"/>
      <c r="S19" s="3771"/>
      <c r="T19" s="3768"/>
      <c r="U19" s="3771"/>
      <c r="V19" s="3768"/>
      <c r="W19" s="3771"/>
      <c r="X19" s="909"/>
      <c r="Y19" s="4550"/>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7">
        <v>100</v>
      </c>
      <c r="E20" s="273"/>
      <c r="F20" s="3759">
        <f>SUMIF(67:67,E21,68:68)-SUMIF(67:67,C21,68:68)+100</f>
        <v>100</v>
      </c>
      <c r="G20" s="274"/>
      <c r="H20" s="268">
        <f>SUMIF(67:67,G21,68:68)-SUMIF(67:67,C21,68:68)+100</f>
        <v>100</v>
      </c>
      <c r="I20" s="270"/>
      <c r="J20" s="268">
        <f>SUMIF(67:67,I21,68:68)-SUMIF(67:67,C21,68:68)+100</f>
        <v>100</v>
      </c>
      <c r="K20" s="396"/>
      <c r="L20" s="1980"/>
      <c r="M20" s="1975"/>
      <c r="N20" s="1975"/>
      <c r="O20" s="2030"/>
      <c r="P20" s="4550"/>
      <c r="Q20" s="906" t="str">
        <f>B20</f>
        <v>自然及人文环境</v>
      </c>
      <c r="R20" s="3768" t="s">
        <v>13</v>
      </c>
      <c r="S20" s="3771">
        <f>F20</f>
        <v>100</v>
      </c>
      <c r="T20" s="3768" t="s">
        <v>13</v>
      </c>
      <c r="U20" s="3771">
        <f>H20</f>
        <v>100</v>
      </c>
      <c r="V20" s="3768" t="s">
        <v>13</v>
      </c>
      <c r="W20" s="3771">
        <f>J20</f>
        <v>100</v>
      </c>
      <c r="X20" s="909"/>
      <c r="Y20" s="4550"/>
      <c r="Z20" s="907" t="str">
        <f>Q20</f>
        <v>自然及人文环境</v>
      </c>
      <c r="AA20" s="907">
        <f t="shared" si="3"/>
        <v>1</v>
      </c>
      <c r="AB20" s="907">
        <f t="shared" si="4"/>
        <v>1</v>
      </c>
      <c r="AC20" s="907">
        <f t="shared" si="5"/>
        <v>1</v>
      </c>
    </row>
    <row r="21" spans="1:29" ht="15.5">
      <c r="A21" s="254"/>
      <c r="B21" s="272"/>
      <c r="C21" s="266"/>
      <c r="D21" s="2905"/>
      <c r="E21" s="266"/>
      <c r="F21" s="3757"/>
      <c r="G21" s="266"/>
      <c r="H21" s="267"/>
      <c r="I21" s="266"/>
      <c r="J21" s="267"/>
      <c r="K21" s="397"/>
      <c r="L21" s="1980"/>
      <c r="M21" s="1975"/>
      <c r="N21" s="1975"/>
      <c r="O21" s="2030"/>
      <c r="P21" s="4550"/>
      <c r="Q21" s="906"/>
      <c r="R21" s="3768"/>
      <c r="S21" s="3771"/>
      <c r="T21" s="3768"/>
      <c r="U21" s="3771"/>
      <c r="V21" s="3768"/>
      <c r="W21" s="3771"/>
      <c r="X21" s="909"/>
      <c r="Y21" s="4550"/>
      <c r="Z21" s="907"/>
      <c r="AA21" s="907">
        <v>1</v>
      </c>
      <c r="AB21" s="907">
        <v>1</v>
      </c>
      <c r="AC21" s="907">
        <v>1</v>
      </c>
    </row>
    <row r="22" spans="1:29" ht="15.5">
      <c r="A22" s="254"/>
      <c r="B22" s="269" t="s">
        <v>1742</v>
      </c>
      <c r="C22" s="398"/>
      <c r="D22" s="2906">
        <v>100</v>
      </c>
      <c r="E22" s="398"/>
      <c r="F22" s="908">
        <f>SUMIF(69:69,E22,70:70)-SUMIF(69:69,C22,70:70)+100</f>
        <v>100</v>
      </c>
      <c r="G22" s="398"/>
      <c r="H22" s="3752">
        <f>SUMIF(69:69,G22,70:70)-SUMIF(69:69,C22,70:70)+100</f>
        <v>100</v>
      </c>
      <c r="I22" s="398"/>
      <c r="J22" s="3752">
        <f>SUMIF(69:69,I22,70:70)-SUMIF(69:69,C22,70:70)+100</f>
        <v>100</v>
      </c>
      <c r="K22" s="394"/>
      <c r="L22" s="1980"/>
      <c r="M22" s="1975"/>
      <c r="N22" s="1975"/>
      <c r="O22" s="2030"/>
      <c r="P22" s="4550"/>
      <c r="Q22" s="906" t="str">
        <f>B22</f>
        <v>楼层</v>
      </c>
      <c r="R22" s="3768" t="s">
        <v>13</v>
      </c>
      <c r="S22" s="3771">
        <f>F22</f>
        <v>100</v>
      </c>
      <c r="T22" s="3768" t="s">
        <v>13</v>
      </c>
      <c r="U22" s="3771">
        <f>H22</f>
        <v>100</v>
      </c>
      <c r="V22" s="3768" t="s">
        <v>13</v>
      </c>
      <c r="W22" s="3771">
        <f>J22</f>
        <v>100</v>
      </c>
      <c r="X22" s="909"/>
      <c r="Y22" s="4550"/>
      <c r="Z22" s="907" t="str">
        <f>Q22</f>
        <v>楼层</v>
      </c>
      <c r="AA22" s="907">
        <f t="shared" si="3"/>
        <v>1</v>
      </c>
      <c r="AB22" s="907">
        <f t="shared" si="4"/>
        <v>1</v>
      </c>
      <c r="AC22" s="907">
        <f t="shared" si="5"/>
        <v>1</v>
      </c>
    </row>
    <row r="23" spans="1:29" ht="15.5">
      <c r="A23" s="238"/>
      <c r="B23" s="310">
        <v>111</v>
      </c>
      <c r="C23" s="258"/>
      <c r="D23" s="2902">
        <v>100</v>
      </c>
      <c r="E23" s="259"/>
      <c r="F23" s="908">
        <f>SUMIF(71:71,E23,72:72)-SUMIF(71:71,C23,72:72)+100</f>
        <v>100</v>
      </c>
      <c r="G23" s="259"/>
      <c r="H23" s="3752">
        <f>SUMIF(71:71,G23,72:72)-SUMIF(71:71,C23,72:72)+100</f>
        <v>100</v>
      </c>
      <c r="I23" s="259"/>
      <c r="J23" s="3752">
        <f>SUMIF(71:71,I23,72:72)-SUMIF(71:71,C23,72:72)+100</f>
        <v>100</v>
      </c>
      <c r="K23" s="395"/>
      <c r="L23" s="1980"/>
      <c r="M23" s="1975"/>
      <c r="N23" s="1975"/>
      <c r="O23" s="2030"/>
      <c r="P23" s="4550"/>
      <c r="Q23" s="906">
        <f>B23</f>
        <v>111</v>
      </c>
      <c r="R23" s="3768" t="s">
        <v>13</v>
      </c>
      <c r="S23" s="3771">
        <f>F23</f>
        <v>100</v>
      </c>
      <c r="T23" s="3768" t="s">
        <v>13</v>
      </c>
      <c r="U23" s="3771">
        <f>H23</f>
        <v>100</v>
      </c>
      <c r="V23" s="3768" t="s">
        <v>13</v>
      </c>
      <c r="W23" s="3771">
        <f>J23</f>
        <v>100</v>
      </c>
      <c r="X23" s="909"/>
      <c r="Y23" s="4550"/>
      <c r="Z23" s="907">
        <f>Q23</f>
        <v>111</v>
      </c>
      <c r="AA23" s="907">
        <f t="shared" si="3"/>
        <v>1</v>
      </c>
      <c r="AB23" s="907">
        <f t="shared" si="4"/>
        <v>1</v>
      </c>
      <c r="AC23" s="907">
        <f t="shared" si="5"/>
        <v>1</v>
      </c>
    </row>
    <row r="24" spans="1:29" ht="15.5">
      <c r="A24" s="254"/>
      <c r="B24" s="310">
        <v>111</v>
      </c>
      <c r="C24" s="258"/>
      <c r="D24" s="2902">
        <v>100</v>
      </c>
      <c r="E24" s="259"/>
      <c r="F24" s="908">
        <f>SUMIF(73:73,E24,74:74)-SUMIF(73:73,C24,74:74)+100</f>
        <v>100</v>
      </c>
      <c r="G24" s="259"/>
      <c r="H24" s="3752">
        <f>SUMIF(73:73,G24,74:74)-SUMIF(73:73,C24,74:74)+100</f>
        <v>100</v>
      </c>
      <c r="I24" s="259"/>
      <c r="J24" s="3752">
        <f>SUMIF(73:73,I24,74:74)-SUMIF(73:73,C24,74:74)+100</f>
        <v>100</v>
      </c>
      <c r="K24" s="395"/>
      <c r="L24" s="1980"/>
      <c r="M24" s="1975"/>
      <c r="N24" s="1975"/>
      <c r="O24" s="2030"/>
      <c r="P24" s="4550"/>
      <c r="Q24" s="906">
        <f t="shared" ref="Q24:Q34" si="11">B24</f>
        <v>111</v>
      </c>
      <c r="R24" s="3768" t="s">
        <v>13</v>
      </c>
      <c r="S24" s="3771">
        <f>F24</f>
        <v>100</v>
      </c>
      <c r="T24" s="3768" t="s">
        <v>13</v>
      </c>
      <c r="U24" s="3771">
        <f>H24</f>
        <v>100</v>
      </c>
      <c r="V24" s="3768" t="s">
        <v>13</v>
      </c>
      <c r="W24" s="3771">
        <f>J24</f>
        <v>100</v>
      </c>
      <c r="X24" s="909"/>
      <c r="Y24" s="4550"/>
      <c r="Z24" s="907">
        <f>Q24</f>
        <v>111</v>
      </c>
      <c r="AA24" s="907">
        <f t="shared" si="3"/>
        <v>1</v>
      </c>
      <c r="AB24" s="907">
        <f t="shared" si="4"/>
        <v>1</v>
      </c>
      <c r="AC24" s="907">
        <f t="shared" si="5"/>
        <v>1</v>
      </c>
    </row>
    <row r="25" spans="1:29" s="46" customFormat="1" ht="16"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50"/>
      <c r="Q25" s="389">
        <f t="shared" si="11"/>
        <v>111</v>
      </c>
      <c r="R25" s="3767" t="s">
        <v>13</v>
      </c>
      <c r="S25" s="3770">
        <f>F25</f>
        <v>100</v>
      </c>
      <c r="T25" s="3767" t="s">
        <v>13</v>
      </c>
      <c r="U25" s="3770">
        <f>H25</f>
        <v>100</v>
      </c>
      <c r="V25" s="3767" t="s">
        <v>13</v>
      </c>
      <c r="W25" s="3770">
        <f>J25</f>
        <v>100</v>
      </c>
      <c r="X25" s="482"/>
      <c r="Y25" s="4550"/>
      <c r="Z25" s="28">
        <f>Q25</f>
        <v>111</v>
      </c>
      <c r="AA25" s="907">
        <f>D25/F25</f>
        <v>1</v>
      </c>
      <c r="AB25" s="907">
        <f>D25/H25</f>
        <v>1</v>
      </c>
      <c r="AC25" s="907">
        <f>D25/J25</f>
        <v>1</v>
      </c>
    </row>
    <row r="26" spans="1:29" ht="29">
      <c r="A26" s="276" t="s">
        <v>1601</v>
      </c>
      <c r="B26" s="34" t="s">
        <v>1745</v>
      </c>
      <c r="C26" s="1420"/>
      <c r="D26" s="2909">
        <v>100</v>
      </c>
      <c r="E26" s="1420"/>
      <c r="F26" s="3773">
        <f>SUMIF(77:77,E26,78:78)-SUMIF(77:77,C26,78:78)+100</f>
        <v>100</v>
      </c>
      <c r="G26" s="1420"/>
      <c r="H26" s="3755">
        <f>SUMIF(77:77,G26,78:78)-SUMIF(77:77,C26,78:78)+100</f>
        <v>100</v>
      </c>
      <c r="I26" s="1420"/>
      <c r="J26" s="3755">
        <f>SUMIF(77:77,I26,78:78)-SUMIF(77:77,C26,78:78)+100</f>
        <v>100</v>
      </c>
      <c r="K26" s="394"/>
      <c r="L26" s="1980"/>
      <c r="M26" s="1975"/>
      <c r="N26" s="1975"/>
      <c r="O26" s="2030"/>
      <c r="P26" s="4664"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54"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900">
        <v>100</v>
      </c>
      <c r="E27" s="283"/>
      <c r="F27" s="908" t="e">
        <f>LOOKUP(E27,80:80,81:81)-LOOKUP(C27,80:80,81:81)+100</f>
        <v>#N/A</v>
      </c>
      <c r="G27" s="284"/>
      <c r="H27" s="3752" t="e">
        <f>LOOKUP(G27,80:80,81:81)-LOOKUP(C27,80:80,81:81)+100</f>
        <v>#N/A</v>
      </c>
      <c r="I27" s="284"/>
      <c r="J27" s="3752" t="e">
        <f>LOOKUP(I27,80:80,81:81)-LOOKUP(C27,80:80,81:81)+100</f>
        <v>#N/A</v>
      </c>
      <c r="K27" s="394"/>
      <c r="L27" s="1979"/>
      <c r="M27" s="1981"/>
      <c r="N27" s="1981"/>
      <c r="O27" s="2031"/>
      <c r="P27" s="4554"/>
      <c r="Q27" s="483" t="str">
        <f t="shared" si="11"/>
        <v>成新率</v>
      </c>
      <c r="R27" s="3769" t="s">
        <v>13</v>
      </c>
      <c r="S27" s="3772" t="e">
        <f t="shared" si="12"/>
        <v>#N/A</v>
      </c>
      <c r="T27" s="3769" t="s">
        <v>13</v>
      </c>
      <c r="U27" s="3772" t="e">
        <f t="shared" si="13"/>
        <v>#N/A</v>
      </c>
      <c r="V27" s="3769" t="s">
        <v>13</v>
      </c>
      <c r="W27" s="3772" t="e">
        <f t="shared" si="14"/>
        <v>#N/A</v>
      </c>
      <c r="X27" s="484"/>
      <c r="Y27" s="4554"/>
      <c r="Z27" s="485" t="str">
        <f t="shared" si="15"/>
        <v>成新率</v>
      </c>
      <c r="AA27" s="907" t="e">
        <f t="shared" si="3"/>
        <v>#N/A</v>
      </c>
      <c r="AB27" s="907" t="e">
        <f t="shared" si="4"/>
        <v>#N/A</v>
      </c>
      <c r="AC27" s="907" t="e">
        <f t="shared" si="5"/>
        <v>#N/A</v>
      </c>
    </row>
    <row r="28" spans="1:29" ht="15.5">
      <c r="A28" s="280"/>
      <c r="B28" s="252" t="s">
        <v>1747</v>
      </c>
      <c r="C28" s="275"/>
      <c r="D28" s="2902">
        <v>100</v>
      </c>
      <c r="E28" s="275"/>
      <c r="F28" s="908">
        <f>SUMIF(82:82,E28,83:83)-SUMIF(82:82,C28,83:83)+100</f>
        <v>100</v>
      </c>
      <c r="G28" s="275"/>
      <c r="H28" s="3752">
        <f>SUMIF(82:82,G28,83:83)-SUMIF(82:82,C28,83:83)+100</f>
        <v>100</v>
      </c>
      <c r="I28" s="275"/>
      <c r="J28" s="3752">
        <f>SUMIF(82:82,I28,83:83)-SUMIF(82:82,C28,83:83)+100</f>
        <v>100</v>
      </c>
      <c r="K28" s="394"/>
      <c r="L28" s="1980"/>
      <c r="M28" s="1975"/>
      <c r="N28" s="1975"/>
      <c r="O28" s="2030"/>
      <c r="P28" s="4554"/>
      <c r="Q28" s="906" t="str">
        <f t="shared" si="11"/>
        <v>物业等级</v>
      </c>
      <c r="R28" s="3768" t="s">
        <v>13</v>
      </c>
      <c r="S28" s="3771">
        <f t="shared" si="12"/>
        <v>100</v>
      </c>
      <c r="T28" s="3768" t="s">
        <v>13</v>
      </c>
      <c r="U28" s="3771">
        <f t="shared" si="13"/>
        <v>100</v>
      </c>
      <c r="V28" s="3768" t="s">
        <v>13</v>
      </c>
      <c r="W28" s="3771">
        <f t="shared" si="14"/>
        <v>100</v>
      </c>
      <c r="X28" s="909"/>
      <c r="Y28" s="4554"/>
      <c r="Z28" s="907" t="str">
        <f t="shared" si="15"/>
        <v>物业等级</v>
      </c>
      <c r="AA28" s="907">
        <f t="shared" si="3"/>
        <v>1</v>
      </c>
      <c r="AB28" s="907">
        <f t="shared" si="4"/>
        <v>1</v>
      </c>
      <c r="AC28" s="907">
        <f t="shared" si="5"/>
        <v>1</v>
      </c>
    </row>
    <row r="29" spans="1:29" ht="15.5">
      <c r="A29" s="280"/>
      <c r="B29" s="252" t="s">
        <v>1767</v>
      </c>
      <c r="C29" s="425"/>
      <c r="D29" s="2902">
        <v>100</v>
      </c>
      <c r="E29" s="425"/>
      <c r="F29" s="908">
        <f>SUMIF(84:84,E29,85:85)-SUMIF(84:84,C29,85:85)+100</f>
        <v>100</v>
      </c>
      <c r="G29" s="425"/>
      <c r="H29" s="3752">
        <f>SUMIF(84:84,G29,85:85)-SUMIF(84:84,C29,85:85)+100</f>
        <v>100</v>
      </c>
      <c r="I29" s="425"/>
      <c r="J29" s="3752">
        <f>SUMIF(84:84,I29,85:85)-SUMIF(84:84,C29,85:85)+100</f>
        <v>100</v>
      </c>
      <c r="K29" s="394"/>
      <c r="L29" s="1980"/>
      <c r="M29" s="1975"/>
      <c r="N29" s="1975"/>
      <c r="O29" s="2030"/>
      <c r="P29" s="4554"/>
      <c r="Q29" s="906" t="str">
        <f t="shared" si="11"/>
        <v>有无电梯</v>
      </c>
      <c r="R29" s="3768" t="s">
        <v>13</v>
      </c>
      <c r="S29" s="3771">
        <f t="shared" si="12"/>
        <v>100</v>
      </c>
      <c r="T29" s="3768" t="s">
        <v>13</v>
      </c>
      <c r="U29" s="3771">
        <f t="shared" si="13"/>
        <v>100</v>
      </c>
      <c r="V29" s="3768" t="s">
        <v>13</v>
      </c>
      <c r="W29" s="3771">
        <f t="shared" si="14"/>
        <v>100</v>
      </c>
      <c r="X29" s="909"/>
      <c r="Y29" s="4554"/>
      <c r="Z29" s="907" t="str">
        <f t="shared" si="15"/>
        <v>有无电梯</v>
      </c>
      <c r="AA29" s="907">
        <f t="shared" si="3"/>
        <v>1</v>
      </c>
      <c r="AB29" s="907">
        <f t="shared" si="4"/>
        <v>1</v>
      </c>
      <c r="AC29" s="907">
        <f t="shared" si="5"/>
        <v>1</v>
      </c>
    </row>
    <row r="30" spans="1:29" ht="15.5">
      <c r="A30" s="280"/>
      <c r="B30" s="252" t="s">
        <v>1768</v>
      </c>
      <c r="C30" s="278"/>
      <c r="D30" s="2902">
        <v>100</v>
      </c>
      <c r="E30" s="278"/>
      <c r="F30" s="908" t="e">
        <f>LOOKUP(E30,87:87,88:88)-LOOKUP(C30,87:87,88:88)+100</f>
        <v>#N/A</v>
      </c>
      <c r="G30" s="278"/>
      <c r="H30" s="3752" t="e">
        <f>LOOKUP(G30,87:87,88:88)-LOOKUP(C30,87:87,88:88)+100</f>
        <v>#N/A</v>
      </c>
      <c r="I30" s="278"/>
      <c r="J30" s="3752" t="e">
        <f>LOOKUP(I30,87:87,88:88)-LOOKUP(C30,87:87,88:88)+100</f>
        <v>#N/A</v>
      </c>
      <c r="K30" s="395"/>
      <c r="L30" s="1980"/>
      <c r="M30" s="1975"/>
      <c r="N30" s="1975"/>
      <c r="O30" s="2030"/>
      <c r="P30" s="4554"/>
      <c r="Q30" s="906" t="str">
        <f t="shared" si="11"/>
        <v>建筑面积</v>
      </c>
      <c r="R30" s="3768" t="s">
        <v>13</v>
      </c>
      <c r="S30" s="3771" t="e">
        <f t="shared" si="12"/>
        <v>#N/A</v>
      </c>
      <c r="T30" s="3768" t="s">
        <v>13</v>
      </c>
      <c r="U30" s="3771" t="e">
        <f t="shared" si="13"/>
        <v>#N/A</v>
      </c>
      <c r="V30" s="3768" t="s">
        <v>13</v>
      </c>
      <c r="W30" s="3771" t="e">
        <f t="shared" si="14"/>
        <v>#N/A</v>
      </c>
      <c r="X30" s="909"/>
      <c r="Y30" s="4554"/>
      <c r="Z30" s="907" t="str">
        <f t="shared" si="15"/>
        <v>建筑面积</v>
      </c>
      <c r="AA30" s="907" t="e">
        <f t="shared" si="3"/>
        <v>#N/A</v>
      </c>
      <c r="AB30" s="907" t="e">
        <f t="shared" si="4"/>
        <v>#N/A</v>
      </c>
      <c r="AC30" s="907" t="e">
        <f t="shared" si="5"/>
        <v>#N/A</v>
      </c>
    </row>
    <row r="31" spans="1:29" s="46" customFormat="1" ht="15.5">
      <c r="A31" s="281"/>
      <c r="B31" s="252" t="s">
        <v>1769</v>
      </c>
      <c r="C31" s="425"/>
      <c r="D31" s="2900">
        <v>100</v>
      </c>
      <c r="E31" s="425"/>
      <c r="F31" s="908">
        <f>SUMIF(89:89,E31,90:90)-SUMIF(89:89,C31,90:90)+100</f>
        <v>100</v>
      </c>
      <c r="G31" s="425"/>
      <c r="H31" s="3752">
        <f>SUMIF(89:89,G31,90:90)-SUMIF(89:89,C31,90:90)+100</f>
        <v>100</v>
      </c>
      <c r="I31" s="425"/>
      <c r="J31" s="3752">
        <f>SUMIF(89:89,I31,90:90)-SUMIF(89:89,C31,90:90)+100</f>
        <v>100</v>
      </c>
      <c r="K31" s="394"/>
      <c r="L31" s="1976"/>
      <c r="M31" s="1929"/>
      <c r="N31" s="1929"/>
      <c r="O31" s="2028"/>
      <c r="P31" s="4554"/>
      <c r="Q31" s="389" t="str">
        <f t="shared" si="11"/>
        <v>是否封闭</v>
      </c>
      <c r="R31" s="3767" t="s">
        <v>13</v>
      </c>
      <c r="S31" s="3770">
        <f t="shared" si="12"/>
        <v>100</v>
      </c>
      <c r="T31" s="3767" t="s">
        <v>13</v>
      </c>
      <c r="U31" s="3770">
        <f t="shared" si="13"/>
        <v>100</v>
      </c>
      <c r="V31" s="3767" t="s">
        <v>13</v>
      </c>
      <c r="W31" s="3770">
        <f t="shared" si="14"/>
        <v>100</v>
      </c>
      <c r="X31" s="482"/>
      <c r="Y31" s="4554"/>
      <c r="Z31" s="28" t="str">
        <f t="shared" si="15"/>
        <v>是否封闭</v>
      </c>
      <c r="AA31" s="28">
        <f t="shared" si="3"/>
        <v>1</v>
      </c>
      <c r="AB31" s="28">
        <f t="shared" si="4"/>
        <v>1</v>
      </c>
      <c r="AC31" s="28">
        <f t="shared" si="5"/>
        <v>1</v>
      </c>
    </row>
    <row r="32" spans="1:29" ht="15.5">
      <c r="A32" s="280"/>
      <c r="B32" s="310">
        <v>111</v>
      </c>
      <c r="C32" s="258"/>
      <c r="D32" s="2902">
        <v>100</v>
      </c>
      <c r="E32" s="278"/>
      <c r="F32" s="908">
        <f>SUMIF(91:91,E32,92:92)-SUMIF(91:91,C32,92:92)+100</f>
        <v>100</v>
      </c>
      <c r="G32" s="278"/>
      <c r="H32" s="3752">
        <f>SUMIF(91:91,G32,92:92)-SUMIF(91:91,C32,92:92)+100</f>
        <v>100</v>
      </c>
      <c r="I32" s="278"/>
      <c r="J32" s="3752">
        <f>SUMIF(91:91,I32,92:92)-SUMIF(91:91,C32,92:92)+100</f>
        <v>100</v>
      </c>
      <c r="K32" s="395"/>
      <c r="L32" s="1980"/>
      <c r="M32" s="1975"/>
      <c r="N32" s="1975"/>
      <c r="O32" s="2030"/>
      <c r="P32" s="4554" t="s">
        <v>1603</v>
      </c>
      <c r="Q32" s="906">
        <f t="shared" si="11"/>
        <v>111</v>
      </c>
      <c r="R32" s="3768" t="s">
        <v>13</v>
      </c>
      <c r="S32" s="3771">
        <f t="shared" si="12"/>
        <v>100</v>
      </c>
      <c r="T32" s="3768" t="s">
        <v>13</v>
      </c>
      <c r="U32" s="3771">
        <f t="shared" si="13"/>
        <v>100</v>
      </c>
      <c r="V32" s="3768" t="s">
        <v>13</v>
      </c>
      <c r="W32" s="3771">
        <f t="shared" si="14"/>
        <v>100</v>
      </c>
      <c r="X32" s="909"/>
      <c r="Y32" s="4554" t="s">
        <v>1603</v>
      </c>
      <c r="Z32" s="907">
        <f t="shared" si="15"/>
        <v>111</v>
      </c>
      <c r="AA32" s="907">
        <f t="shared" si="3"/>
        <v>1</v>
      </c>
      <c r="AB32" s="907">
        <f t="shared" si="4"/>
        <v>1</v>
      </c>
      <c r="AC32" s="907">
        <f t="shared" si="5"/>
        <v>1</v>
      </c>
    </row>
    <row r="33" spans="1:30" ht="15.5">
      <c r="A33" s="280"/>
      <c r="B33" s="310">
        <v>111</v>
      </c>
      <c r="C33" s="258"/>
      <c r="D33" s="2902">
        <v>100</v>
      </c>
      <c r="E33" s="278"/>
      <c r="F33" s="908">
        <f>SUMIF(93:93,E33,94:94)-SUMIF(93:93,C33,94:94)+100</f>
        <v>100</v>
      </c>
      <c r="G33" s="278"/>
      <c r="H33" s="3752">
        <f>SUMIF(93:93,G33,94:94)-SUMIF(93:93,C33,94:94)+100</f>
        <v>100</v>
      </c>
      <c r="I33" s="278"/>
      <c r="J33" s="3752">
        <f>SUMIF(93:93,I33,94:94)-SUMIF(93:93,C33,94:94)+100</f>
        <v>100</v>
      </c>
      <c r="K33" s="395"/>
      <c r="L33" s="1980"/>
      <c r="M33" s="1975"/>
      <c r="N33" s="1975"/>
      <c r="O33" s="2030"/>
      <c r="P33" s="4554"/>
      <c r="Q33" s="906">
        <f t="shared" si="11"/>
        <v>111</v>
      </c>
      <c r="R33" s="3768" t="s">
        <v>13</v>
      </c>
      <c r="S33" s="3771">
        <f t="shared" si="12"/>
        <v>100</v>
      </c>
      <c r="T33" s="3768" t="s">
        <v>13</v>
      </c>
      <c r="U33" s="3771">
        <f t="shared" si="13"/>
        <v>100</v>
      </c>
      <c r="V33" s="3768" t="s">
        <v>13</v>
      </c>
      <c r="W33" s="3771">
        <f t="shared" si="14"/>
        <v>100</v>
      </c>
      <c r="X33" s="909"/>
      <c r="Y33" s="4554"/>
      <c r="Z33" s="907">
        <f t="shared" si="15"/>
        <v>111</v>
      </c>
      <c r="AA33" s="907">
        <f t="shared" si="3"/>
        <v>1</v>
      </c>
      <c r="AB33" s="907">
        <f t="shared" si="4"/>
        <v>1</v>
      </c>
      <c r="AC33" s="907">
        <f t="shared" si="5"/>
        <v>1</v>
      </c>
    </row>
    <row r="34" spans="1:30" ht="16" thickBot="1">
      <c r="A34" s="285"/>
      <c r="B34" s="1361">
        <v>111</v>
      </c>
      <c r="C34" s="261"/>
      <c r="D34" s="2903">
        <v>100</v>
      </c>
      <c r="E34" s="1428"/>
      <c r="F34" s="3753">
        <f>SUMIF(95:95,E34,96:96)-SUMIF(95:95,C34,96:96)+100</f>
        <v>100</v>
      </c>
      <c r="G34" s="1428"/>
      <c r="H34" s="3749">
        <f>SUMIF(95:95,G34,96:96)-SUMIF(95:95,C34,96:96)+100</f>
        <v>100</v>
      </c>
      <c r="I34" s="1428"/>
      <c r="J34" s="3749">
        <f>SUMIF(95:95,I34,96:96)-SUMIF(95:95,C34,96:96)+100</f>
        <v>100</v>
      </c>
      <c r="K34" s="395"/>
      <c r="L34" s="1980"/>
      <c r="M34" s="1975"/>
      <c r="N34" s="1975"/>
      <c r="O34" s="2030"/>
      <c r="P34" s="4554"/>
      <c r="Q34" s="906">
        <f t="shared" si="11"/>
        <v>111</v>
      </c>
      <c r="R34" s="3768" t="s">
        <v>13</v>
      </c>
      <c r="S34" s="3771">
        <f t="shared" si="12"/>
        <v>100</v>
      </c>
      <c r="T34" s="3768" t="s">
        <v>13</v>
      </c>
      <c r="U34" s="3771">
        <f t="shared" si="13"/>
        <v>100</v>
      </c>
      <c r="V34" s="3768" t="s">
        <v>13</v>
      </c>
      <c r="W34" s="3771">
        <f t="shared" si="14"/>
        <v>100</v>
      </c>
      <c r="X34" s="909"/>
      <c r="Y34" s="4554"/>
      <c r="Z34" s="907">
        <f t="shared" si="15"/>
        <v>111</v>
      </c>
      <c r="AA34" s="907">
        <f t="shared" si="3"/>
        <v>1</v>
      </c>
      <c r="AB34" s="907">
        <f t="shared" si="4"/>
        <v>1</v>
      </c>
      <c r="AC34" s="907">
        <f t="shared" si="5"/>
        <v>1</v>
      </c>
    </row>
    <row r="35" spans="1:30">
      <c r="A35" s="286" t="s">
        <v>1615</v>
      </c>
      <c r="B35" s="287"/>
      <c r="C35" s="765" t="s">
        <v>0</v>
      </c>
      <c r="D35" s="288"/>
      <c r="E35" s="3205"/>
      <c r="F35" s="3153"/>
      <c r="G35" s="3206"/>
      <c r="H35" s="3154"/>
      <c r="I35" s="3205"/>
      <c r="J35" s="3154"/>
      <c r="K35" s="2862"/>
      <c r="L35" s="1982"/>
      <c r="M35" s="1975"/>
      <c r="N35" s="1975"/>
      <c r="O35" s="1975"/>
      <c r="P35" s="4660" t="str">
        <f>A35</f>
        <v>成交单价（元/平方米）</v>
      </c>
      <c r="Q35" s="4660"/>
      <c r="R35" s="4599">
        <f>E35</f>
        <v>0</v>
      </c>
      <c r="S35" s="4599"/>
      <c r="T35" s="4599">
        <f>G35</f>
        <v>0</v>
      </c>
      <c r="U35" s="4599"/>
      <c r="V35" s="4599">
        <f>I35</f>
        <v>0</v>
      </c>
      <c r="W35" s="4599"/>
      <c r="X35" s="265"/>
      <c r="Y35" s="486"/>
      <c r="Z35" s="265"/>
      <c r="AA35" s="265"/>
      <c r="AB35" s="265"/>
      <c r="AC35" s="265"/>
    </row>
    <row r="36" spans="1:30" ht="14.5" thickBot="1">
      <c r="A36" s="289" t="s">
        <v>1700</v>
      </c>
      <c r="B36" s="290"/>
      <c r="C36" s="3734" t="e">
        <f>R37</f>
        <v>#DIV/0!</v>
      </c>
      <c r="D36" s="3847" t="s">
        <v>2042</v>
      </c>
      <c r="E36" s="3745" t="e">
        <f>R36</f>
        <v>#DIV/0!</v>
      </c>
      <c r="F36" s="2801"/>
      <c r="G36" s="3734" t="e">
        <f>T36</f>
        <v>#DIV/0!</v>
      </c>
      <c r="H36" s="2801"/>
      <c r="I36" s="3745" t="e">
        <f>V36</f>
        <v>#DIV/0!</v>
      </c>
      <c r="J36" s="2801"/>
      <c r="K36" s="2855">
        <f>F36+H36+J36</f>
        <v>0</v>
      </c>
      <c r="L36" s="1982"/>
      <c r="M36" s="1975"/>
      <c r="N36" s="1975"/>
      <c r="O36" s="1975"/>
      <c r="P36" s="4660" t="str">
        <f>A36</f>
        <v>比较价值（元/平方米）</v>
      </c>
      <c r="Q36" s="4660"/>
      <c r="R36" s="4599" t="e">
        <f>IF(F1="售价",ROUND(PRODUCT(R35,AA7:AA34),0),ROUND(PRODUCT(R35,AA7:AA34),1))</f>
        <v>#DIV/0!</v>
      </c>
      <c r="S36" s="4599"/>
      <c r="T36" s="4599" t="e">
        <f>IF(F1="售价",ROUND(PRODUCT(T35,AB7:AB34),0),ROUND(PRODUCT(T35,AB7:AB34),1))</f>
        <v>#DIV/0!</v>
      </c>
      <c r="U36" s="4599"/>
      <c r="V36" s="4599" t="e">
        <f>IF(F1="售价",ROUND(PRODUCT(V35,AC7:AC34),0),ROUND(PRODUCT(V35,AC7:AC34),1))</f>
        <v>#DIV/0!</v>
      </c>
      <c r="W36" s="4599"/>
      <c r="X36" s="265"/>
      <c r="Y36" s="265"/>
      <c r="Z36" s="265"/>
      <c r="AA36" s="265"/>
      <c r="AB36" s="265"/>
      <c r="AC36" s="265"/>
    </row>
    <row r="37" spans="1:30" ht="14.5" thickBot="1">
      <c r="A37" s="291" t="s">
        <v>1701</v>
      </c>
      <c r="B37" s="292"/>
      <c r="C37" s="3746" t="e">
        <f>R37</f>
        <v>#DIV/0!</v>
      </c>
      <c r="D37" s="241"/>
      <c r="E37" s="241"/>
      <c r="F37" s="241"/>
      <c r="G37" s="241"/>
      <c r="H37" s="241"/>
      <c r="I37" s="241"/>
      <c r="J37" s="241"/>
      <c r="K37" s="487"/>
      <c r="L37" s="1982"/>
      <c r="M37" s="1975"/>
      <c r="N37" s="1975"/>
      <c r="O37" s="1975"/>
      <c r="P37" s="4661" t="str">
        <f>A37</f>
        <v>估价对象XX用房的比较价值（楼面单价，元/平方米）</v>
      </c>
      <c r="Q37" s="4662"/>
      <c r="R37" s="4663" t="e">
        <f>IF(F1="售价",ROUND(IF(D36="简单平均",AVERAGE(R36:W36),R36*F36+T36*H36+V36*J36),0),ROUND(IF(D36="简单平均",AVERAGE(R36:V36),R36*F36+T36*H36+V36*J36),1))</f>
        <v>#DIV/0!</v>
      </c>
      <c r="S37" s="4663"/>
      <c r="T37" s="4663"/>
      <c r="U37" s="4663"/>
      <c r="V37" s="4663"/>
      <c r="W37" s="466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8.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8.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4.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4.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4.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4.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4.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4.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4.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8"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3630</v>
      </c>
      <c r="B4" s="3388" t="e">
        <f>IF(B48="单位面积地价",C50,ROUND(B2*10000/'数据-汇总表'!D3,0))</f>
        <v>#DIV/0!</v>
      </c>
      <c r="C4" s="1336" t="s">
        <v>3632</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3631</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c r="A6" s="235" t="s">
        <v>1676</v>
      </c>
      <c r="B6" s="236"/>
      <c r="C6" s="4563" t="s">
        <v>1677</v>
      </c>
      <c r="D6" s="4564"/>
      <c r="E6" s="4565" t="s">
        <v>1678</v>
      </c>
      <c r="F6" s="4566"/>
      <c r="G6" s="4563" t="s">
        <v>1679</v>
      </c>
      <c r="H6" s="4564"/>
      <c r="I6" s="4563" t="s">
        <v>1680</v>
      </c>
      <c r="J6" s="4564"/>
      <c r="K6" s="2863" t="s">
        <v>1681</v>
      </c>
      <c r="L6" s="1974"/>
      <c r="M6" s="1975"/>
      <c r="N6" s="1975"/>
      <c r="O6" s="1975"/>
      <c r="P6" s="4567" t="s">
        <v>1682</v>
      </c>
      <c r="Q6" s="4568"/>
      <c r="R6" s="4573" t="s">
        <v>1678</v>
      </c>
      <c r="S6" s="4574"/>
      <c r="T6" s="4573" t="s">
        <v>1679</v>
      </c>
      <c r="U6" s="4574"/>
      <c r="V6" s="4579" t="s">
        <v>1680</v>
      </c>
      <c r="W6" s="4579"/>
      <c r="X6" s="909"/>
      <c r="Y6" s="4588" t="s">
        <v>1682</v>
      </c>
      <c r="Z6" s="4589"/>
      <c r="AA6" s="4560" t="s">
        <v>1678</v>
      </c>
      <c r="AB6" s="4561" t="s">
        <v>1679</v>
      </c>
      <c r="AC6" s="4560" t="s">
        <v>1680</v>
      </c>
    </row>
    <row r="7" spans="1:29">
      <c r="A7" s="238"/>
      <c r="B7" s="239"/>
      <c r="C7" s="4582" t="s">
        <v>1580</v>
      </c>
      <c r="D7" s="4583"/>
      <c r="E7" s="4597" t="s">
        <v>1581</v>
      </c>
      <c r="F7" s="4598"/>
      <c r="G7" s="4582" t="s">
        <v>1582</v>
      </c>
      <c r="H7" s="4583"/>
      <c r="I7" s="4582" t="s">
        <v>1583</v>
      </c>
      <c r="J7" s="4583"/>
      <c r="K7" s="2863"/>
      <c r="L7" s="1974"/>
      <c r="M7" s="1975"/>
      <c r="N7" s="1975"/>
      <c r="O7" s="1975"/>
      <c r="P7" s="4569"/>
      <c r="Q7" s="4570"/>
      <c r="R7" s="4575"/>
      <c r="S7" s="4576"/>
      <c r="T7" s="4575"/>
      <c r="U7" s="4576"/>
      <c r="V7" s="4579"/>
      <c r="W7" s="4579"/>
      <c r="X7" s="909"/>
      <c r="Y7" s="4590"/>
      <c r="Z7" s="4591"/>
      <c r="AA7" s="4561"/>
      <c r="AB7" s="4561"/>
      <c r="AC7" s="4561"/>
    </row>
    <row r="8" spans="1:29" ht="15" thickBot="1">
      <c r="A8" s="240"/>
      <c r="B8" s="241"/>
      <c r="C8" s="4580" t="s">
        <v>1584</v>
      </c>
      <c r="D8" s="4581"/>
      <c r="E8" s="4595" t="s">
        <v>1584</v>
      </c>
      <c r="F8" s="4596"/>
      <c r="G8" s="4580" t="s">
        <v>1584</v>
      </c>
      <c r="H8" s="4581"/>
      <c r="I8" s="4580" t="s">
        <v>1584</v>
      </c>
      <c r="J8" s="4581"/>
      <c r="K8" s="2863" t="s">
        <v>1585</v>
      </c>
      <c r="L8" s="1974"/>
      <c r="M8" s="1975"/>
      <c r="N8" s="1975"/>
      <c r="O8" s="1975"/>
      <c r="P8" s="4571"/>
      <c r="Q8" s="4572"/>
      <c r="R8" s="4575"/>
      <c r="S8" s="4576"/>
      <c r="T8" s="4577"/>
      <c r="U8" s="4578"/>
      <c r="V8" s="4579"/>
      <c r="W8" s="4579"/>
      <c r="X8" s="909"/>
      <c r="Y8" s="4592"/>
      <c r="Z8" s="4593"/>
      <c r="AA8" s="4562"/>
      <c r="AB8" s="4562"/>
      <c r="AC8" s="4562"/>
    </row>
    <row r="9" spans="1:29" s="46" customFormat="1" ht="14.5" thickBot="1">
      <c r="A9" s="3089" t="s">
        <v>1586</v>
      </c>
      <c r="B9" s="3090"/>
      <c r="C9" s="2811">
        <f>'数据-取费表'!B2</f>
        <v>46090</v>
      </c>
      <c r="D9" s="2886">
        <v>100</v>
      </c>
      <c r="E9" s="2840"/>
      <c r="F9" s="3718">
        <f>SUMIF(71:71,YEAR(E9)&amp;"-"&amp;INT((MONTH(E9)+2)/3),72:72)</f>
        <v>0</v>
      </c>
      <c r="G9" s="3120"/>
      <c r="H9" s="3730">
        <f>SUMIF(71:71,YEAR(G9)&amp;"-"&amp;INT((MONTH(G9)+2)/3),72:72)</f>
        <v>0</v>
      </c>
      <c r="I9" s="3120"/>
      <c r="J9" s="3730">
        <f>SUMIF(71:71,YEAR(I9)&amp;"-"&amp;INT((MONTH(I9)+2)/3),72:72)</f>
        <v>0</v>
      </c>
      <c r="K9" s="3124"/>
      <c r="L9" s="1976"/>
      <c r="M9" s="1929"/>
      <c r="N9" s="1929"/>
      <c r="O9" s="1929"/>
      <c r="P9" s="4584" t="s">
        <v>1587</v>
      </c>
      <c r="Q9" s="4594"/>
      <c r="R9" s="3760" t="s">
        <v>13</v>
      </c>
      <c r="S9" s="3542">
        <f t="shared" ref="S9:S17" si="0">F9</f>
        <v>0</v>
      </c>
      <c r="T9" s="3760" t="s">
        <v>13</v>
      </c>
      <c r="U9" s="3542">
        <f t="shared" ref="U9:U17" si="1">H9</f>
        <v>0</v>
      </c>
      <c r="V9" s="3760" t="s">
        <v>13</v>
      </c>
      <c r="W9" s="3542">
        <f t="shared" ref="W9:W17" si="2">J9</f>
        <v>0</v>
      </c>
      <c r="X9" s="482"/>
      <c r="Y9" s="4586" t="s">
        <v>1587</v>
      </c>
      <c r="Z9" s="4587"/>
      <c r="AA9" s="28" t="e">
        <f>D9/F9</f>
        <v>#DIV/0!</v>
      </c>
      <c r="AB9" s="28" t="e">
        <f>D9/H9</f>
        <v>#DIV/0!</v>
      </c>
      <c r="AC9" s="28" t="e">
        <f>D9/J9</f>
        <v>#DIV/0!</v>
      </c>
    </row>
    <row r="10" spans="1:29" s="46" customFormat="1" ht="14.5" thickBot="1">
      <c r="A10" s="3089" t="s">
        <v>1588</v>
      </c>
      <c r="B10" s="3090"/>
      <c r="C10" s="2812"/>
      <c r="D10" s="2886">
        <v>100</v>
      </c>
      <c r="E10" s="2812"/>
      <c r="F10" s="3718">
        <f>SUMIF(74:74,E10,75:75)-SUMIF(74:74,C10,75:75)+100</f>
        <v>100</v>
      </c>
      <c r="G10" s="2812"/>
      <c r="H10" s="3730">
        <f>SUMIF(74:74,G10,75:75)-SUMIF(74:74,C10,75:75)+100</f>
        <v>100</v>
      </c>
      <c r="I10" s="2812"/>
      <c r="J10" s="3730">
        <f>SUMIF(74:74,I10,75:75)-SUMIF(74:74,C10,75:75)+100</f>
        <v>100</v>
      </c>
      <c r="K10" s="3124"/>
      <c r="L10" s="1976"/>
      <c r="M10" s="1929"/>
      <c r="N10" s="1929"/>
      <c r="O10" s="1929"/>
      <c r="P10" s="4584" t="s">
        <v>1590</v>
      </c>
      <c r="Q10" s="4585"/>
      <c r="R10" s="3760" t="s">
        <v>13</v>
      </c>
      <c r="S10" s="3542">
        <f t="shared" si="0"/>
        <v>100</v>
      </c>
      <c r="T10" s="3760" t="s">
        <v>13</v>
      </c>
      <c r="U10" s="3542">
        <f t="shared" si="1"/>
        <v>100</v>
      </c>
      <c r="V10" s="3760" t="s">
        <v>13</v>
      </c>
      <c r="W10" s="3542">
        <f t="shared" si="2"/>
        <v>100</v>
      </c>
      <c r="X10" s="482"/>
      <c r="Y10" s="4586" t="s">
        <v>1590</v>
      </c>
      <c r="Z10" s="4587"/>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1">
        <f>SUMIF(76:76,E11,77:77)-SUMIF(76:76,C11,77:77)+100</f>
        <v>100</v>
      </c>
      <c r="G11" s="3091"/>
      <c r="H11" s="3731">
        <f>SUMIF(76:76,G11,77:77)-SUMIF(76:76,C11,77:77)+100</f>
        <v>100</v>
      </c>
      <c r="I11" s="3091"/>
      <c r="J11" s="3731">
        <f>SUMIF(76:76,I11,77:77)-SUMIF(76:76,C11,77:77)+100</f>
        <v>100</v>
      </c>
      <c r="K11" s="3124"/>
      <c r="L11" s="1976"/>
      <c r="M11" s="1929"/>
      <c r="N11" s="1929"/>
      <c r="O11" s="2028"/>
      <c r="P11" s="4547" t="s">
        <v>1593</v>
      </c>
      <c r="Q11" s="1698" t="str">
        <f t="shared" ref="Q11:Q17" si="6">B11</f>
        <v>用途</v>
      </c>
      <c r="R11" s="3760" t="s">
        <v>13</v>
      </c>
      <c r="S11" s="3542">
        <f t="shared" si="0"/>
        <v>100</v>
      </c>
      <c r="T11" s="3760" t="s">
        <v>13</v>
      </c>
      <c r="U11" s="3542">
        <f t="shared" si="1"/>
        <v>100</v>
      </c>
      <c r="V11" s="3760" t="s">
        <v>13</v>
      </c>
      <c r="W11" s="3542">
        <f t="shared" si="2"/>
        <v>100</v>
      </c>
      <c r="X11" s="482"/>
      <c r="Y11" s="4559" t="s">
        <v>1594</v>
      </c>
      <c r="Z11" s="28" t="str">
        <f t="shared" ref="Z11:Z17" si="7">Q11</f>
        <v>用途</v>
      </c>
      <c r="AA11" s="28">
        <f t="shared" si="3"/>
        <v>1</v>
      </c>
      <c r="AB11" s="28">
        <f t="shared" si="4"/>
        <v>1</v>
      </c>
      <c r="AC11" s="28">
        <f t="shared" si="5"/>
        <v>1</v>
      </c>
    </row>
    <row r="12" spans="1:29" s="253" customFormat="1" ht="28">
      <c r="A12" s="3092"/>
      <c r="B12" s="2789" t="s">
        <v>1595</v>
      </c>
      <c r="C12" s="2816"/>
      <c r="D12" s="2888">
        <v>100</v>
      </c>
      <c r="E12" s="2866"/>
      <c r="F12" s="3732">
        <f>ROUND(100/'数据-取费表'!G16,1)</f>
        <v>156.9</v>
      </c>
      <c r="G12" s="2872"/>
      <c r="H12" s="3732">
        <f>ROUND(100/'数据-取费表'!G16,1)</f>
        <v>156.9</v>
      </c>
      <c r="I12" s="2872"/>
      <c r="J12" s="3732">
        <f>ROUND(100/'数据-取费表'!G16,1)</f>
        <v>156.9</v>
      </c>
      <c r="K12" s="3125"/>
      <c r="L12" s="1977"/>
      <c r="M12" s="1978"/>
      <c r="N12" s="1978"/>
      <c r="O12" s="2029"/>
      <c r="P12" s="4547"/>
      <c r="Q12" s="1698" t="str">
        <f t="shared" si="6"/>
        <v>土地使用年限（年）</v>
      </c>
      <c r="R12" s="3760" t="s">
        <v>13</v>
      </c>
      <c r="S12" s="3542">
        <f t="shared" si="0"/>
        <v>156.9</v>
      </c>
      <c r="T12" s="3760" t="s">
        <v>13</v>
      </c>
      <c r="U12" s="3542">
        <f t="shared" si="1"/>
        <v>156.9</v>
      </c>
      <c r="V12" s="3760" t="s">
        <v>13</v>
      </c>
      <c r="W12" s="3542">
        <f t="shared" si="2"/>
        <v>156.9</v>
      </c>
      <c r="X12" s="482"/>
      <c r="Y12" s="4559"/>
      <c r="Z12" s="28" t="str">
        <f t="shared" si="7"/>
        <v>土地使用年限（年）</v>
      </c>
      <c r="AA12" s="28">
        <f t="shared" si="3"/>
        <v>0.63734862970044615</v>
      </c>
      <c r="AB12" s="28">
        <f t="shared" si="4"/>
        <v>0.63734862970044615</v>
      </c>
      <c r="AC12" s="28">
        <f t="shared" si="5"/>
        <v>0.63734862970044615</v>
      </c>
    </row>
    <row r="13" spans="1:29" ht="15.5">
      <c r="A13" s="3093"/>
      <c r="B13" s="2789" t="s">
        <v>1596</v>
      </c>
      <c r="C13" s="2815"/>
      <c r="D13" s="2888">
        <v>100</v>
      </c>
      <c r="E13" s="2815"/>
      <c r="F13" s="3732">
        <f>LOOKUP(E13,81:81,82:82)-LOOKUP(C13,81:81,82:82)+100</f>
        <v>100</v>
      </c>
      <c r="G13" s="2843"/>
      <c r="H13" s="3732">
        <f>LOOKUP(G13,81:81,82:82)-LOOKUP(C13,81:81,82:82)+100</f>
        <v>100</v>
      </c>
      <c r="I13" s="2815"/>
      <c r="J13" s="3732">
        <f>LOOKUP(I13,81:81,82:82)-LOOKUP(C13,81:81,82:82)+100</f>
        <v>100</v>
      </c>
      <c r="K13" s="3149"/>
      <c r="L13" s="1979"/>
      <c r="M13" s="1975"/>
      <c r="N13" s="1975"/>
      <c r="O13" s="2030"/>
      <c r="P13" s="4547"/>
      <c r="Q13" s="1698" t="str">
        <f t="shared" si="6"/>
        <v>容积率</v>
      </c>
      <c r="R13" s="3760" t="s">
        <v>13</v>
      </c>
      <c r="S13" s="3542">
        <f t="shared" si="0"/>
        <v>100</v>
      </c>
      <c r="T13" s="3760" t="s">
        <v>13</v>
      </c>
      <c r="U13" s="3542">
        <f t="shared" si="1"/>
        <v>100</v>
      </c>
      <c r="V13" s="3760" t="s">
        <v>13</v>
      </c>
      <c r="W13" s="3542">
        <f t="shared" si="2"/>
        <v>100</v>
      </c>
      <c r="X13" s="482"/>
      <c r="Y13" s="4559"/>
      <c r="Z13" s="28" t="str">
        <f t="shared" si="7"/>
        <v>容积率</v>
      </c>
      <c r="AA13" s="28">
        <f t="shared" si="3"/>
        <v>1</v>
      </c>
      <c r="AB13" s="28">
        <f t="shared" si="4"/>
        <v>1</v>
      </c>
      <c r="AC13" s="28">
        <f t="shared" si="5"/>
        <v>1</v>
      </c>
    </row>
    <row r="14" spans="1:29" s="46" customFormat="1" ht="15.5">
      <c r="A14" s="3094"/>
      <c r="B14" s="2793" t="s">
        <v>1777</v>
      </c>
      <c r="C14" s="2816"/>
      <c r="D14" s="2889">
        <v>100</v>
      </c>
      <c r="E14" s="2866"/>
      <c r="F14" s="3732">
        <f>SUMIF(83:83,E14,84:84)-SUMIF(83:83,C14,84:84)+100</f>
        <v>100</v>
      </c>
      <c r="G14" s="2872"/>
      <c r="H14" s="3732">
        <f>SUMIF(83:83,G14,84:84)-SUMIF(83:83,C14,84:84)+100</f>
        <v>100</v>
      </c>
      <c r="I14" s="2866"/>
      <c r="J14" s="3732">
        <f>SUMIF(83:83,I14,84:84)-SUMIF(83:83,C14,84:84)+100</f>
        <v>100</v>
      </c>
      <c r="K14" s="3150"/>
      <c r="L14" s="1976"/>
      <c r="M14" s="1929"/>
      <c r="N14" s="1929"/>
      <c r="O14" s="2028"/>
      <c r="P14" s="4547"/>
      <c r="Q14" s="1698" t="str">
        <f t="shared" si="6"/>
        <v>配建</v>
      </c>
      <c r="R14" s="3760" t="s">
        <v>13</v>
      </c>
      <c r="S14" s="3542">
        <f t="shared" si="0"/>
        <v>100</v>
      </c>
      <c r="T14" s="3760" t="s">
        <v>13</v>
      </c>
      <c r="U14" s="3542">
        <f t="shared" si="1"/>
        <v>100</v>
      </c>
      <c r="V14" s="3760" t="s">
        <v>13</v>
      </c>
      <c r="W14" s="3542">
        <f t="shared" si="2"/>
        <v>100</v>
      </c>
      <c r="X14" s="482"/>
      <c r="Y14" s="4559"/>
      <c r="Z14" s="28" t="str">
        <f t="shared" si="7"/>
        <v>配建</v>
      </c>
      <c r="AA14" s="28">
        <f>D14/F14</f>
        <v>1</v>
      </c>
      <c r="AB14" s="28">
        <f>D14/H14</f>
        <v>1</v>
      </c>
      <c r="AC14" s="28">
        <f>D14/J14</f>
        <v>1</v>
      </c>
    </row>
    <row r="15" spans="1:29" ht="15.5">
      <c r="A15" s="3093"/>
      <c r="B15" s="2793">
        <v>111</v>
      </c>
      <c r="C15" s="2817"/>
      <c r="D15" s="2890">
        <v>100</v>
      </c>
      <c r="E15" s="3115"/>
      <c r="F15" s="3732">
        <f>SUMIF(85:85,E15,86:86)-SUMIF(85:85,C15,86:86)+100</f>
        <v>100</v>
      </c>
      <c r="G15" s="3101"/>
      <c r="H15" s="3726">
        <f>SUMIF(85:85,G15,86:86)-SUMIF(85:85,C15,86:86)+100</f>
        <v>100</v>
      </c>
      <c r="I15" s="3101"/>
      <c r="J15" s="3726">
        <f>SUMIF(85:85,I15,86:86)-SUMIF(85:85,C15,86:86)+100</f>
        <v>100</v>
      </c>
      <c r="K15" s="3150"/>
      <c r="L15" s="1980"/>
      <c r="M15" s="1975"/>
      <c r="N15" s="1975"/>
      <c r="O15" s="2030"/>
      <c r="P15" s="4547"/>
      <c r="Q15" s="1698">
        <f t="shared" si="6"/>
        <v>111</v>
      </c>
      <c r="R15" s="3760" t="s">
        <v>13</v>
      </c>
      <c r="S15" s="3542">
        <f t="shared" si="0"/>
        <v>100</v>
      </c>
      <c r="T15" s="3760" t="s">
        <v>13</v>
      </c>
      <c r="U15" s="3542">
        <f t="shared" si="1"/>
        <v>100</v>
      </c>
      <c r="V15" s="3760" t="s">
        <v>13</v>
      </c>
      <c r="W15" s="3542">
        <f t="shared" si="2"/>
        <v>100</v>
      </c>
      <c r="X15" s="482"/>
      <c r="Y15" s="4559"/>
      <c r="Z15" s="28">
        <f t="shared" si="7"/>
        <v>111</v>
      </c>
      <c r="AA15" s="28">
        <f>D15/F15</f>
        <v>1</v>
      </c>
      <c r="AB15" s="28">
        <f>D15/H15</f>
        <v>1</v>
      </c>
      <c r="AC15" s="28">
        <f>D15/J15</f>
        <v>1</v>
      </c>
    </row>
    <row r="16" spans="1:29" ht="16" thickBot="1">
      <c r="A16" s="3095"/>
      <c r="B16" s="2794">
        <v>111</v>
      </c>
      <c r="C16" s="2818"/>
      <c r="D16" s="2891">
        <v>100</v>
      </c>
      <c r="E16" s="3115"/>
      <c r="F16" s="3728">
        <f>SUMIF(87:87,E16,88:88)-SUMIF(87:87,C16,88:88)+100</f>
        <v>100</v>
      </c>
      <c r="G16" s="3101"/>
      <c r="H16" s="3728">
        <f>SUMIF(87:87,G16,88:88)-SUMIF(87:87,C16,88:88)+100</f>
        <v>100</v>
      </c>
      <c r="I16" s="3101"/>
      <c r="J16" s="3728">
        <f>SUMIF(87:87,I16,88:88)-SUMIF(87:87,C16,88:88)+100</f>
        <v>100</v>
      </c>
      <c r="K16" s="3150"/>
      <c r="L16" s="1980"/>
      <c r="M16" s="1975"/>
      <c r="N16" s="1975"/>
      <c r="O16" s="2030"/>
      <c r="P16" s="4547"/>
      <c r="Q16" s="1698">
        <f t="shared" si="6"/>
        <v>111</v>
      </c>
      <c r="R16" s="3760" t="s">
        <v>13</v>
      </c>
      <c r="S16" s="3542">
        <f t="shared" si="0"/>
        <v>100</v>
      </c>
      <c r="T16" s="3760" t="s">
        <v>13</v>
      </c>
      <c r="U16" s="3542">
        <f t="shared" si="1"/>
        <v>100</v>
      </c>
      <c r="V16" s="3760" t="s">
        <v>13</v>
      </c>
      <c r="W16" s="3542">
        <f t="shared" si="2"/>
        <v>100</v>
      </c>
      <c r="X16" s="482"/>
      <c r="Y16" s="4559"/>
      <c r="Z16" s="28">
        <f t="shared" si="7"/>
        <v>111</v>
      </c>
      <c r="AA16" s="28">
        <f>D16/F16</f>
        <v>1</v>
      </c>
      <c r="AB16" s="28">
        <f>D16/H16</f>
        <v>1</v>
      </c>
      <c r="AC16" s="28">
        <f>D16/J16</f>
        <v>1</v>
      </c>
    </row>
    <row r="17" spans="1:29" ht="84">
      <c r="A17" s="3096" t="s">
        <v>1597</v>
      </c>
      <c r="B17" s="2795" t="s">
        <v>1235</v>
      </c>
      <c r="C17" s="2819" t="str">
        <f>估价对象房地状况!C15</f>
        <v>估价对象周边居住用地比例、居住小区规模和社区发展完善程度，综合评价居住社区成熟度一般</v>
      </c>
      <c r="D17" s="2892">
        <v>100</v>
      </c>
      <c r="E17" s="2844"/>
      <c r="F17" s="3722">
        <f>SUMIF(89:89,E18,90:90)-SUMIF(89:89,C18,90:90)+100</f>
        <v>100</v>
      </c>
      <c r="G17" s="2844"/>
      <c r="H17" s="3722">
        <f>SUMIF(89:89,G18,90:90)-SUMIF(89:89,C18,90:90)+100</f>
        <v>100</v>
      </c>
      <c r="I17" s="2850"/>
      <c r="J17" s="3722">
        <f>SUMIF(89:89,I18,90:90)-SUMIF(89:89,C18,90:90)+100</f>
        <v>100</v>
      </c>
      <c r="K17" s="3149"/>
      <c r="L17" s="1980"/>
      <c r="M17" s="1975"/>
      <c r="N17" s="1975"/>
      <c r="O17" s="2030"/>
      <c r="P17" s="4652" t="s">
        <v>1598</v>
      </c>
      <c r="Q17" s="1507" t="str">
        <f t="shared" si="6"/>
        <v>居住社区成熟度</v>
      </c>
      <c r="R17" s="3761" t="s">
        <v>13</v>
      </c>
      <c r="S17" s="3763">
        <f t="shared" si="0"/>
        <v>100</v>
      </c>
      <c r="T17" s="3761" t="s">
        <v>13</v>
      </c>
      <c r="U17" s="3763">
        <f t="shared" si="1"/>
        <v>100</v>
      </c>
      <c r="V17" s="3761" t="s">
        <v>13</v>
      </c>
      <c r="W17" s="3763">
        <f t="shared" si="2"/>
        <v>100</v>
      </c>
      <c r="X17" s="909"/>
      <c r="Y17" s="4549" t="s">
        <v>1598</v>
      </c>
      <c r="Z17" s="907" t="str">
        <f t="shared" si="7"/>
        <v>居住社区成熟度</v>
      </c>
      <c r="AA17" s="907">
        <f t="shared" si="3"/>
        <v>1</v>
      </c>
      <c r="AB17" s="907">
        <f t="shared" si="4"/>
        <v>1</v>
      </c>
      <c r="AC17" s="907">
        <f t="shared" si="5"/>
        <v>1</v>
      </c>
    </row>
    <row r="18" spans="1:29" ht="15.5">
      <c r="A18" s="3093"/>
      <c r="B18" s="2796"/>
      <c r="C18" s="2820" t="s">
        <v>3611</v>
      </c>
      <c r="D18" s="2893"/>
      <c r="E18" s="2848" t="s">
        <v>3612</v>
      </c>
      <c r="F18" s="3723"/>
      <c r="G18" s="2848" t="s">
        <v>3611</v>
      </c>
      <c r="H18" s="3724"/>
      <c r="I18" s="2854" t="s">
        <v>3611</v>
      </c>
      <c r="J18" s="3723"/>
      <c r="K18" s="3150"/>
      <c r="L18" s="1980"/>
      <c r="M18" s="1975"/>
      <c r="N18" s="1975"/>
      <c r="O18" s="2030"/>
      <c r="P18" s="4653"/>
      <c r="Q18" s="1507"/>
      <c r="R18" s="3761"/>
      <c r="S18" s="3763"/>
      <c r="T18" s="3761"/>
      <c r="U18" s="3763"/>
      <c r="V18" s="3761"/>
      <c r="W18" s="3763"/>
      <c r="X18" s="909"/>
      <c r="Y18" s="4550"/>
      <c r="Z18" s="907"/>
      <c r="AA18" s="907">
        <v>1</v>
      </c>
      <c r="AB18" s="907">
        <v>1</v>
      </c>
      <c r="AC18" s="907">
        <v>1</v>
      </c>
    </row>
    <row r="19" spans="1:29" ht="56">
      <c r="A19" s="3093"/>
      <c r="B19" s="2797" t="s">
        <v>1684</v>
      </c>
      <c r="C19" s="2835" t="str">
        <f>估价对象房地状况!C16</f>
        <v>估价对象位于XX商圈，周边商业氛围成熟，人流量大，商业繁华度好</v>
      </c>
      <c r="D19" s="2894">
        <v>100</v>
      </c>
      <c r="E19" s="2845"/>
      <c r="F19" s="3724">
        <f>SUMIF(91:91,E20,92:92)-SUMIF(91:91,C20,92:92)+100</f>
        <v>100</v>
      </c>
      <c r="G19" s="2845"/>
      <c r="H19" s="3725">
        <f>SUMIF(91:91,G20,92:92)-SUMIF(91:91,C20,92:92)+100</f>
        <v>100</v>
      </c>
      <c r="I19" s="2851"/>
      <c r="J19" s="3725">
        <f>SUMIF(91:91,I20,92:92)-SUMIF(91:91,C20,92:92)+100</f>
        <v>100</v>
      </c>
      <c r="K19" s="3149"/>
      <c r="L19" s="1980"/>
      <c r="M19" s="1975"/>
      <c r="N19" s="1975"/>
      <c r="O19" s="2030"/>
      <c r="P19" s="4653"/>
      <c r="Q19" s="1507" t="str">
        <f>B19</f>
        <v>商业繁华度</v>
      </c>
      <c r="R19" s="3761" t="s">
        <v>13</v>
      </c>
      <c r="S19" s="3763">
        <f>F19</f>
        <v>100</v>
      </c>
      <c r="T19" s="3761" t="s">
        <v>13</v>
      </c>
      <c r="U19" s="3763">
        <f>H19</f>
        <v>100</v>
      </c>
      <c r="V19" s="3761" t="s">
        <v>13</v>
      </c>
      <c r="W19" s="3763">
        <f>J19</f>
        <v>100</v>
      </c>
      <c r="X19" s="909"/>
      <c r="Y19" s="4550"/>
      <c r="Z19" s="907" t="str">
        <f>Q19</f>
        <v>商业繁华度</v>
      </c>
      <c r="AA19" s="907">
        <f t="shared" si="3"/>
        <v>1</v>
      </c>
      <c r="AB19" s="907">
        <f t="shared" si="4"/>
        <v>1</v>
      </c>
      <c r="AC19" s="907">
        <f t="shared" si="5"/>
        <v>1</v>
      </c>
    </row>
    <row r="20" spans="1:29" ht="15.5">
      <c r="A20" s="3093"/>
      <c r="B20" s="2798"/>
      <c r="C20" s="2822"/>
      <c r="D20" s="2894"/>
      <c r="E20" s="2846"/>
      <c r="F20" s="3724"/>
      <c r="G20" s="2846"/>
      <c r="H20" s="3723"/>
      <c r="I20" s="2852"/>
      <c r="J20" s="3723"/>
      <c r="K20" s="3150"/>
      <c r="L20" s="1980"/>
      <c r="M20" s="1975"/>
      <c r="N20" s="1975"/>
      <c r="O20" s="2030"/>
      <c r="P20" s="4653"/>
      <c r="Q20" s="1507"/>
      <c r="R20" s="3761"/>
      <c r="S20" s="3763"/>
      <c r="T20" s="3761"/>
      <c r="U20" s="3763"/>
      <c r="V20" s="3761"/>
      <c r="W20" s="3763"/>
      <c r="X20" s="909"/>
      <c r="Y20" s="4550"/>
      <c r="Z20" s="907"/>
      <c r="AA20" s="907">
        <v>1</v>
      </c>
      <c r="AB20" s="907">
        <v>1</v>
      </c>
      <c r="AC20" s="907">
        <v>1</v>
      </c>
    </row>
    <row r="21" spans="1:29" ht="70">
      <c r="A21" s="3093"/>
      <c r="B21" s="2797" t="s">
        <v>1718</v>
      </c>
      <c r="C21" s="2835" t="str">
        <f>估价对象房地状况!C17</f>
        <v>估价对象位于XX商圈，周边办公楼项目较多，入驻率高，办公集聚程度较好</v>
      </c>
      <c r="D21" s="2895">
        <v>100</v>
      </c>
      <c r="E21" s="2847"/>
      <c r="F21" s="3725">
        <f>SUMIF(93:93,E22,94:94)-SUMIF(93:93,C22,94:94)+100</f>
        <v>100</v>
      </c>
      <c r="G21" s="2847"/>
      <c r="H21" s="3724">
        <f>SUMIF(93:93,G22,94:94)-SUMIF(93:93,C22,94:94)+100</f>
        <v>100</v>
      </c>
      <c r="I21" s="2853"/>
      <c r="J21" s="3724">
        <f>SUMIF(93:93,I22,94:94)-SUMIF(93:93,C22,94:94)+100</f>
        <v>100</v>
      </c>
      <c r="K21" s="3149"/>
      <c r="L21" s="1980"/>
      <c r="M21" s="1975"/>
      <c r="N21" s="1975"/>
      <c r="O21" s="2030"/>
      <c r="P21" s="4653"/>
      <c r="Q21" s="1507" t="str">
        <f>B21</f>
        <v>办公集聚程度</v>
      </c>
      <c r="R21" s="3761" t="s">
        <v>13</v>
      </c>
      <c r="S21" s="3763">
        <f>F21</f>
        <v>100</v>
      </c>
      <c r="T21" s="3761" t="s">
        <v>13</v>
      </c>
      <c r="U21" s="3763">
        <f>H21</f>
        <v>100</v>
      </c>
      <c r="V21" s="3761" t="s">
        <v>13</v>
      </c>
      <c r="W21" s="3763">
        <f>J21</f>
        <v>100</v>
      </c>
      <c r="X21" s="909"/>
      <c r="Y21" s="4550"/>
      <c r="Z21" s="907" t="str">
        <f>Q21</f>
        <v>办公集聚程度</v>
      </c>
      <c r="AA21" s="907">
        <f t="shared" si="3"/>
        <v>1</v>
      </c>
      <c r="AB21" s="907">
        <f t="shared" si="4"/>
        <v>1</v>
      </c>
      <c r="AC21" s="907">
        <f t="shared" si="5"/>
        <v>1</v>
      </c>
    </row>
    <row r="22" spans="1:29" ht="15.5">
      <c r="A22" s="3093"/>
      <c r="B22" s="2798"/>
      <c r="C22" s="2820"/>
      <c r="D22" s="2893"/>
      <c r="E22" s="2848"/>
      <c r="F22" s="3723"/>
      <c r="G22" s="2848"/>
      <c r="H22" s="3723"/>
      <c r="I22" s="2854"/>
      <c r="J22" s="3723"/>
      <c r="K22" s="3150"/>
      <c r="L22" s="1980"/>
      <c r="M22" s="1975"/>
      <c r="N22" s="1975"/>
      <c r="O22" s="2030"/>
      <c r="P22" s="4653"/>
      <c r="Q22" s="1507"/>
      <c r="R22" s="3761"/>
      <c r="S22" s="3763"/>
      <c r="T22" s="3761"/>
      <c r="U22" s="3763"/>
      <c r="V22" s="3761"/>
      <c r="W22" s="3763"/>
      <c r="X22" s="909"/>
      <c r="Y22" s="4550"/>
      <c r="Z22" s="907"/>
      <c r="AA22" s="907">
        <v>1</v>
      </c>
      <c r="AB22" s="907">
        <v>1</v>
      </c>
      <c r="AC22" s="907">
        <v>1</v>
      </c>
    </row>
    <row r="23" spans="1:29" ht="70">
      <c r="A23" s="3093"/>
      <c r="B23" s="2797" t="s">
        <v>1740</v>
      </c>
      <c r="C23" s="2821" t="str">
        <f>估价对象房地状况!C18</f>
        <v>估价对象周边道路状况、公共交通通达情况、停车便捷程度，综合评价交通便捷度较好</v>
      </c>
      <c r="D23" s="2894">
        <v>100</v>
      </c>
      <c r="E23" s="2845"/>
      <c r="F23" s="3725">
        <f>SUMIF(95:95,E24,96:96)-SUMIF(95:95,C24,96:96)+100</f>
        <v>100</v>
      </c>
      <c r="G23" s="2845"/>
      <c r="H23" s="3724">
        <f>SUMIF(95:95,G24,96:96)-SUMIF(95:95,C24,96:96)+100</f>
        <v>100</v>
      </c>
      <c r="I23" s="2851"/>
      <c r="J23" s="3724">
        <f>SUMIF(95:95,I24,96:96)-SUMIF(95:95,C24,96:96)+100</f>
        <v>100</v>
      </c>
      <c r="K23" s="3149"/>
      <c r="L23" s="1980"/>
      <c r="M23" s="1975"/>
      <c r="N23" s="1975"/>
      <c r="O23" s="2030"/>
      <c r="P23" s="4653"/>
      <c r="Q23" s="1507" t="str">
        <f>B23</f>
        <v>交通便捷度</v>
      </c>
      <c r="R23" s="3761" t="s">
        <v>13</v>
      </c>
      <c r="S23" s="3763">
        <f>F23</f>
        <v>100</v>
      </c>
      <c r="T23" s="3761" t="s">
        <v>13</v>
      </c>
      <c r="U23" s="3763">
        <f>H23</f>
        <v>100</v>
      </c>
      <c r="V23" s="3761" t="s">
        <v>13</v>
      </c>
      <c r="W23" s="3763">
        <f>J23</f>
        <v>100</v>
      </c>
      <c r="X23" s="909"/>
      <c r="Y23" s="4550"/>
      <c r="Z23" s="907" t="str">
        <f>Q23</f>
        <v>交通便捷度</v>
      </c>
      <c r="AA23" s="907">
        <f t="shared" si="3"/>
        <v>1</v>
      </c>
      <c r="AB23" s="907">
        <f t="shared" si="4"/>
        <v>1</v>
      </c>
      <c r="AC23" s="907">
        <f t="shared" si="5"/>
        <v>1</v>
      </c>
    </row>
    <row r="24" spans="1:29" ht="15.5">
      <c r="A24" s="3093"/>
      <c r="B24" s="2799"/>
      <c r="C24" s="2820" t="s">
        <v>3611</v>
      </c>
      <c r="D24" s="2894"/>
      <c r="E24" s="2848" t="s">
        <v>3612</v>
      </c>
      <c r="F24" s="3723"/>
      <c r="G24" s="2848" t="s">
        <v>3611</v>
      </c>
      <c r="H24" s="3723"/>
      <c r="I24" s="2854" t="s">
        <v>3611</v>
      </c>
      <c r="J24" s="3723"/>
      <c r="K24" s="3150"/>
      <c r="L24" s="1980"/>
      <c r="M24" s="1975"/>
      <c r="N24" s="1975"/>
      <c r="O24" s="2030"/>
      <c r="P24" s="4653"/>
      <c r="Q24" s="1507"/>
      <c r="R24" s="3761"/>
      <c r="S24" s="3763"/>
      <c r="T24" s="3761"/>
      <c r="U24" s="3763"/>
      <c r="V24" s="3761"/>
      <c r="W24" s="3763"/>
      <c r="X24" s="909"/>
      <c r="Y24" s="4550"/>
      <c r="Z24" s="907"/>
      <c r="AA24" s="907">
        <v>1</v>
      </c>
      <c r="AB24" s="907">
        <v>1</v>
      </c>
      <c r="AC24" s="907">
        <v>1</v>
      </c>
    </row>
    <row r="25" spans="1:29" ht="28">
      <c r="A25" s="3097"/>
      <c r="B25" s="2797" t="s">
        <v>1778</v>
      </c>
      <c r="C25" s="3098">
        <f>估价对象房地状况!C19</f>
        <v>0</v>
      </c>
      <c r="D25" s="2895">
        <v>100</v>
      </c>
      <c r="E25" s="2845"/>
      <c r="F25" s="3725">
        <f>SUMIF(97:97,E26,98:98)-SUMIF(97:97,C26,98:98)+100</f>
        <v>100</v>
      </c>
      <c r="G25" s="2851"/>
      <c r="H25" s="3725">
        <f>SUMIF(97:97,G26,98:98)-SUMIF(97:97,C26,98:98)+100</f>
        <v>100</v>
      </c>
      <c r="I25" s="2851"/>
      <c r="J25" s="3725">
        <f>SUMIF(97:97,I26,98:98)-SUMIF(97:97,C26,98:98)+100</f>
        <v>100</v>
      </c>
      <c r="K25" s="3149"/>
      <c r="L25" s="1980"/>
      <c r="M25" s="1975"/>
      <c r="N25" s="1975"/>
      <c r="O25" s="2030"/>
      <c r="P25" s="4653"/>
      <c r="Q25" s="1507" t="str">
        <f t="shared" ref="Q25:Q39" si="8">B25</f>
        <v>区域土地利用方向</v>
      </c>
      <c r="R25" s="3761" t="s">
        <v>13</v>
      </c>
      <c r="S25" s="3763">
        <f>F25</f>
        <v>100</v>
      </c>
      <c r="T25" s="3761" t="s">
        <v>13</v>
      </c>
      <c r="U25" s="3763">
        <f>H25</f>
        <v>100</v>
      </c>
      <c r="V25" s="3761" t="s">
        <v>13</v>
      </c>
      <c r="W25" s="3763">
        <f>J25</f>
        <v>100</v>
      </c>
      <c r="X25" s="909"/>
      <c r="Y25" s="4550"/>
      <c r="Z25" s="907" t="str">
        <f>Q25</f>
        <v>区域土地利用方向</v>
      </c>
      <c r="AA25" s="907">
        <f t="shared" si="3"/>
        <v>1</v>
      </c>
      <c r="AB25" s="907">
        <f t="shared" si="4"/>
        <v>1</v>
      </c>
      <c r="AC25" s="907">
        <f t="shared" si="5"/>
        <v>1</v>
      </c>
    </row>
    <row r="26" spans="1:29" ht="15.5">
      <c r="A26" s="3097"/>
      <c r="B26" s="2798"/>
      <c r="C26" s="2836"/>
      <c r="D26" s="2893"/>
      <c r="E26" s="2848"/>
      <c r="F26" s="3723"/>
      <c r="G26" s="2854"/>
      <c r="H26" s="3723"/>
      <c r="I26" s="2854"/>
      <c r="J26" s="3723"/>
      <c r="K26" s="3151"/>
      <c r="L26" s="1980"/>
      <c r="M26" s="1975"/>
      <c r="N26" s="1975"/>
      <c r="O26" s="2030"/>
      <c r="P26" s="4653"/>
      <c r="Q26" s="1507"/>
      <c r="R26" s="3761"/>
      <c r="S26" s="3763"/>
      <c r="T26" s="3761"/>
      <c r="U26" s="3763"/>
      <c r="V26" s="3761"/>
      <c r="W26" s="3763"/>
      <c r="X26" s="909"/>
      <c r="Y26" s="4550"/>
      <c r="Z26" s="907"/>
      <c r="AA26" s="907"/>
      <c r="AB26" s="907"/>
      <c r="AC26" s="907"/>
    </row>
    <row r="27" spans="1:29" ht="42">
      <c r="A27" s="3097"/>
      <c r="B27" s="2799" t="s">
        <v>1779</v>
      </c>
      <c r="C27" s="2835" t="str">
        <f>估价对象房地状况!C20</f>
        <v>区域自然环境：；人文环境；综合评价环境状况一般</v>
      </c>
      <c r="D27" s="2894">
        <v>100</v>
      </c>
      <c r="E27" s="2845"/>
      <c r="F27" s="3724">
        <f>SUMIF(99:99,E28,100:100)-SUMIF(99:99,C28,100:100)+100</f>
        <v>100</v>
      </c>
      <c r="G27" s="2845"/>
      <c r="H27" s="3724">
        <f>SUMIF(99:99,G28,100:100)-SUMIF(99:99,C28,100:100)+100</f>
        <v>100</v>
      </c>
      <c r="I27" s="2851"/>
      <c r="J27" s="3724">
        <f>SUMIF(99:99,I28,100:100)-SUMIF(99:99,C28,100:100)+100</f>
        <v>100</v>
      </c>
      <c r="K27" s="3149"/>
      <c r="L27" s="1980"/>
      <c r="M27" s="1975"/>
      <c r="N27" s="1975"/>
      <c r="O27" s="2030"/>
      <c r="P27" s="4653"/>
      <c r="Q27" s="1507" t="str">
        <f t="shared" si="8"/>
        <v>自然及人文环境状况</v>
      </c>
      <c r="R27" s="3761" t="s">
        <v>13</v>
      </c>
      <c r="S27" s="3763">
        <f>F27</f>
        <v>100</v>
      </c>
      <c r="T27" s="3761" t="s">
        <v>13</v>
      </c>
      <c r="U27" s="3763">
        <f>H27</f>
        <v>100</v>
      </c>
      <c r="V27" s="3761" t="s">
        <v>13</v>
      </c>
      <c r="W27" s="3763">
        <f>J27</f>
        <v>100</v>
      </c>
      <c r="X27" s="909"/>
      <c r="Y27" s="4550"/>
      <c r="Z27" s="907" t="str">
        <f>Q27</f>
        <v>自然及人文环境状况</v>
      </c>
      <c r="AA27" s="907">
        <f t="shared" si="3"/>
        <v>1</v>
      </c>
      <c r="AB27" s="907">
        <f t="shared" si="4"/>
        <v>1</v>
      </c>
      <c r="AC27" s="907">
        <f t="shared" si="5"/>
        <v>1</v>
      </c>
    </row>
    <row r="28" spans="1:29" ht="15.5">
      <c r="A28" s="3097"/>
      <c r="B28" s="2798"/>
      <c r="C28" s="2820"/>
      <c r="D28" s="2893"/>
      <c r="E28" s="2871"/>
      <c r="F28" s="3723"/>
      <c r="G28" s="2871"/>
      <c r="H28" s="3723"/>
      <c r="I28" s="2820"/>
      <c r="J28" s="3723"/>
      <c r="K28" s="3150"/>
      <c r="L28" s="1980"/>
      <c r="M28" s="1975"/>
      <c r="N28" s="1975"/>
      <c r="O28" s="2030"/>
      <c r="P28" s="4653"/>
      <c r="Q28" s="1507"/>
      <c r="R28" s="3761"/>
      <c r="S28" s="3763"/>
      <c r="T28" s="3761"/>
      <c r="U28" s="3763"/>
      <c r="V28" s="3761"/>
      <c r="W28" s="3763"/>
      <c r="X28" s="909"/>
      <c r="Y28" s="4550"/>
      <c r="Z28" s="907"/>
      <c r="AA28" s="907">
        <v>1</v>
      </c>
      <c r="AB28" s="907">
        <v>1</v>
      </c>
      <c r="AC28" s="907">
        <v>1</v>
      </c>
    </row>
    <row r="29" spans="1:29" s="46" customFormat="1" ht="42">
      <c r="A29" s="3099"/>
      <c r="B29" s="2799" t="s">
        <v>1685</v>
      </c>
      <c r="C29" s="2821" t="str">
        <f>估价对象房地状况!C21</f>
        <v>估价对象所在区域公共配套设施齐备情况</v>
      </c>
      <c r="D29" s="2894">
        <v>100</v>
      </c>
      <c r="E29" s="2845"/>
      <c r="F29" s="3724">
        <f>SUMIF(101:101,E30,102:102)-SUMIF(101:101,C30,102:102)+100</f>
        <v>100</v>
      </c>
      <c r="G29" s="2845"/>
      <c r="H29" s="3724">
        <f>SUMIF(101:101,G30,102:102)-SUMIF(101:101,C30,102:102)+100</f>
        <v>100</v>
      </c>
      <c r="I29" s="2851"/>
      <c r="J29" s="3724">
        <f>SUMIF(101:101,I30,102:102)-SUMIF(101:101,C30,102:102)+100</f>
        <v>100</v>
      </c>
      <c r="K29" s="3149"/>
      <c r="L29" s="1976"/>
      <c r="M29" s="1929"/>
      <c r="N29" s="1929"/>
      <c r="O29" s="2028"/>
      <c r="P29" s="4653"/>
      <c r="Q29" s="1698" t="str">
        <f t="shared" si="8"/>
        <v>公共配套设施</v>
      </c>
      <c r="R29" s="3760" t="s">
        <v>13</v>
      </c>
      <c r="S29" s="3542">
        <f>F29</f>
        <v>100</v>
      </c>
      <c r="T29" s="3760" t="s">
        <v>13</v>
      </c>
      <c r="U29" s="3542">
        <f>H29</f>
        <v>100</v>
      </c>
      <c r="V29" s="3760" t="s">
        <v>13</v>
      </c>
      <c r="W29" s="3542">
        <f>J29</f>
        <v>100</v>
      </c>
      <c r="X29" s="482"/>
      <c r="Y29" s="4550"/>
      <c r="Z29" s="28" t="str">
        <f>Q29</f>
        <v>公共配套设施</v>
      </c>
      <c r="AA29" s="907">
        <f>D29/F29</f>
        <v>1</v>
      </c>
      <c r="AB29" s="907">
        <f>D29/H29</f>
        <v>1</v>
      </c>
      <c r="AC29" s="907">
        <f>D29/J29</f>
        <v>1</v>
      </c>
    </row>
    <row r="30" spans="1:29" s="46" customFormat="1" ht="15.5">
      <c r="A30" s="3099"/>
      <c r="B30" s="2798"/>
      <c r="C30" s="3100" t="s">
        <v>3611</v>
      </c>
      <c r="D30" s="2893"/>
      <c r="E30" s="2871" t="s">
        <v>3612</v>
      </c>
      <c r="F30" s="3723"/>
      <c r="G30" s="2871" t="s">
        <v>3611</v>
      </c>
      <c r="H30" s="3723"/>
      <c r="I30" s="2820" t="s">
        <v>3611</v>
      </c>
      <c r="J30" s="3723"/>
      <c r="K30" s="3150"/>
      <c r="L30" s="1976"/>
      <c r="M30" s="1929"/>
      <c r="N30" s="1929"/>
      <c r="O30" s="2028"/>
      <c r="P30" s="4653"/>
      <c r="Q30" s="1698"/>
      <c r="R30" s="3760"/>
      <c r="S30" s="3542"/>
      <c r="T30" s="3760"/>
      <c r="U30" s="3542"/>
      <c r="V30" s="3760"/>
      <c r="W30" s="3542"/>
      <c r="X30" s="482"/>
      <c r="Y30" s="4550"/>
      <c r="Z30" s="28"/>
      <c r="AA30" s="907">
        <v>1</v>
      </c>
      <c r="AB30" s="907">
        <v>1</v>
      </c>
      <c r="AC30" s="907">
        <v>1</v>
      </c>
    </row>
    <row r="31" spans="1:29" s="46" customFormat="1" ht="28">
      <c r="A31" s="3099"/>
      <c r="B31" s="2799" t="s">
        <v>1686</v>
      </c>
      <c r="C31" s="2821" t="str">
        <f>估价对象房地状况!C22</f>
        <v>估价对象所在区域基础设施水平</v>
      </c>
      <c r="D31" s="2894">
        <v>100</v>
      </c>
      <c r="E31" s="2845"/>
      <c r="F31" s="3724">
        <f>SUMIF(103:103,E32,104:104)-SUMIF(103:103,C32,104:104)+100</f>
        <v>100</v>
      </c>
      <c r="G31" s="2845"/>
      <c r="H31" s="3724">
        <f>SUMIF(103:103,G32,104:104)-SUMIF(103:103,C32,104:104)+100</f>
        <v>100</v>
      </c>
      <c r="I31" s="2851"/>
      <c r="J31" s="3724">
        <f>SUMIF(103:103,I32,104:104)-SUMIF(103:103,C32,104:104)+100</f>
        <v>100</v>
      </c>
      <c r="K31" s="3149"/>
      <c r="L31" s="1976"/>
      <c r="M31" s="1929"/>
      <c r="N31" s="1929"/>
      <c r="O31" s="2028"/>
      <c r="P31" s="4653"/>
      <c r="Q31" s="1698" t="str">
        <f t="shared" ref="Q31" si="9">B31</f>
        <v>基础设施水平</v>
      </c>
      <c r="R31" s="3760" t="s">
        <v>13</v>
      </c>
      <c r="S31" s="3542">
        <f>F31</f>
        <v>100</v>
      </c>
      <c r="T31" s="3760" t="s">
        <v>13</v>
      </c>
      <c r="U31" s="3542">
        <f>H31</f>
        <v>100</v>
      </c>
      <c r="V31" s="3760" t="s">
        <v>13</v>
      </c>
      <c r="W31" s="3542">
        <f>J31</f>
        <v>100</v>
      </c>
      <c r="X31" s="482"/>
      <c r="Y31" s="4550"/>
      <c r="Z31" s="28" t="str">
        <f>Q31</f>
        <v>基础设施水平</v>
      </c>
      <c r="AA31" s="907">
        <f>D31/F31</f>
        <v>1</v>
      </c>
      <c r="AB31" s="907">
        <f>D31/H31</f>
        <v>1</v>
      </c>
      <c r="AC31" s="907">
        <f>D31/J31</f>
        <v>1</v>
      </c>
    </row>
    <row r="32" spans="1:29" s="46" customFormat="1" ht="15.5">
      <c r="A32" s="3099"/>
      <c r="B32" s="2798"/>
      <c r="C32" s="3100"/>
      <c r="D32" s="2893"/>
      <c r="E32" s="3116"/>
      <c r="F32" s="3723"/>
      <c r="G32" s="3116"/>
      <c r="H32" s="3723"/>
      <c r="I32" s="3116"/>
      <c r="J32" s="3723"/>
      <c r="K32" s="3150"/>
      <c r="L32" s="1976"/>
      <c r="M32" s="1929"/>
      <c r="N32" s="1929"/>
      <c r="O32" s="2028"/>
      <c r="P32" s="4653"/>
      <c r="Q32" s="1698"/>
      <c r="R32" s="3760"/>
      <c r="S32" s="3542"/>
      <c r="T32" s="3760"/>
      <c r="U32" s="3542"/>
      <c r="V32" s="3760"/>
      <c r="W32" s="3542"/>
      <c r="X32" s="482"/>
      <c r="Y32" s="4550"/>
      <c r="Z32" s="28"/>
      <c r="AA32" s="907">
        <v>1</v>
      </c>
      <c r="AB32" s="907">
        <v>1</v>
      </c>
      <c r="AC32" s="907">
        <v>1</v>
      </c>
    </row>
    <row r="33" spans="1:29" ht="15.5">
      <c r="A33" s="3093"/>
      <c r="B33" s="2798" t="s">
        <v>1687</v>
      </c>
      <c r="C33" s="2836"/>
      <c r="D33" s="2890">
        <v>100</v>
      </c>
      <c r="E33" s="3117"/>
      <c r="F33" s="3726">
        <f>SUMIF(105:105,E33,106:106)-SUMIF(105:105,C33,106:106)+100</f>
        <v>100</v>
      </c>
      <c r="G33" s="3117"/>
      <c r="H33" s="3726">
        <f>SUMIF(105:105,G33,106:106)-SUMIF(105:105,C33,106:106)+100</f>
        <v>100</v>
      </c>
      <c r="I33" s="3117"/>
      <c r="J33" s="3726">
        <f>SUMIF(105:105,I33,106:106)-SUMIF(105:105,C33,106:106)+100</f>
        <v>100</v>
      </c>
      <c r="K33" s="3149"/>
      <c r="L33" s="1980"/>
      <c r="M33" s="1975"/>
      <c r="N33" s="1975"/>
      <c r="O33" s="2030"/>
      <c r="P33" s="4653"/>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550"/>
      <c r="Z33" s="907" t="str">
        <f t="shared" ref="Z33:Z47" si="13">Q33</f>
        <v>临街状况</v>
      </c>
      <c r="AA33" s="907">
        <f t="shared" si="3"/>
        <v>1</v>
      </c>
      <c r="AB33" s="907">
        <f t="shared" si="4"/>
        <v>1</v>
      </c>
      <c r="AC33" s="907">
        <f t="shared" si="5"/>
        <v>1</v>
      </c>
    </row>
    <row r="34" spans="1:29" ht="28">
      <c r="A34" s="3093"/>
      <c r="B34" s="2799" t="s">
        <v>1722</v>
      </c>
      <c r="C34" s="2851"/>
      <c r="D34" s="2894">
        <v>100</v>
      </c>
      <c r="E34" s="2845"/>
      <c r="F34" s="3724">
        <f>SUMIF(107:107,E35,108:108)-SUMIF(107:107,C35,108:108)+100</f>
        <v>100</v>
      </c>
      <c r="G34" s="2845"/>
      <c r="H34" s="3724">
        <f>SUMIF(107:107,G35,108:108)-SUMIF(107:107,C35,108:108)+100</f>
        <v>100</v>
      </c>
      <c r="I34" s="2851"/>
      <c r="J34" s="3724">
        <f>SUMIF(107:107,I35,108:108)-SUMIF(107:107,C35,108:108)+100</f>
        <v>100</v>
      </c>
      <c r="K34" s="3149"/>
      <c r="L34" s="1980"/>
      <c r="M34" s="1975"/>
      <c r="N34" s="1975"/>
      <c r="O34" s="2030"/>
      <c r="P34" s="4653"/>
      <c r="Q34" s="1507" t="str">
        <f t="shared" si="8"/>
        <v>毗邻道路的类型与等级</v>
      </c>
      <c r="R34" s="3761" t="s">
        <v>13</v>
      </c>
      <c r="S34" s="3763">
        <f t="shared" si="10"/>
        <v>100</v>
      </c>
      <c r="T34" s="3761" t="s">
        <v>13</v>
      </c>
      <c r="U34" s="3763">
        <f t="shared" si="11"/>
        <v>100</v>
      </c>
      <c r="V34" s="3761" t="s">
        <v>13</v>
      </c>
      <c r="W34" s="3763">
        <f t="shared" si="12"/>
        <v>100</v>
      </c>
      <c r="X34" s="909"/>
      <c r="Y34" s="4550"/>
      <c r="Z34" s="907" t="str">
        <f t="shared" si="13"/>
        <v>毗邻道路的类型与等级</v>
      </c>
      <c r="AA34" s="907">
        <f t="shared" si="3"/>
        <v>1</v>
      </c>
      <c r="AB34" s="907">
        <f t="shared" si="4"/>
        <v>1</v>
      </c>
      <c r="AC34" s="907">
        <f t="shared" si="5"/>
        <v>1</v>
      </c>
    </row>
    <row r="35" spans="1:29" ht="15.5">
      <c r="A35" s="3093"/>
      <c r="B35" s="2798"/>
      <c r="C35" s="2820"/>
      <c r="D35" s="2893"/>
      <c r="E35" s="2871"/>
      <c r="F35" s="3723"/>
      <c r="G35" s="2871"/>
      <c r="H35" s="3723"/>
      <c r="I35" s="2820"/>
      <c r="J35" s="3723"/>
      <c r="K35" s="2858"/>
      <c r="L35" s="1980"/>
      <c r="M35" s="1975"/>
      <c r="N35" s="1975"/>
      <c r="O35" s="2030"/>
      <c r="P35" s="4653"/>
      <c r="Q35" s="1507"/>
      <c r="R35" s="3761"/>
      <c r="S35" s="3763"/>
      <c r="T35" s="3761"/>
      <c r="U35" s="3763"/>
      <c r="V35" s="3761"/>
      <c r="W35" s="3763"/>
      <c r="X35" s="909"/>
      <c r="Y35" s="4550"/>
      <c r="Z35" s="907"/>
      <c r="AA35" s="907">
        <v>1</v>
      </c>
      <c r="AB35" s="907">
        <v>1</v>
      </c>
      <c r="AC35" s="907">
        <v>1</v>
      </c>
    </row>
    <row r="36" spans="1:29" ht="15.5">
      <c r="A36" s="3093"/>
      <c r="B36" s="2789" t="s">
        <v>1780</v>
      </c>
      <c r="C36" s="2836"/>
      <c r="D36" s="2890">
        <v>100</v>
      </c>
      <c r="E36" s="3117"/>
      <c r="F36" s="3726">
        <f>SUMIF(109:109,E36,110:110)-SUMIF(109:109,C36,110:110)+100</f>
        <v>100</v>
      </c>
      <c r="G36" s="3117"/>
      <c r="H36" s="3726">
        <f>SUMIF(109:109,G36,110:110)-SUMIF(109:109,C36,110:110)+100</f>
        <v>100</v>
      </c>
      <c r="I36" s="2836"/>
      <c r="J36" s="3726">
        <f>SUMIF(109:109,I36,110:110)-SUMIF(109:109,C36,110:110)+100</f>
        <v>100</v>
      </c>
      <c r="K36" s="2857"/>
      <c r="L36" s="1980"/>
      <c r="M36" s="1975"/>
      <c r="N36" s="1975"/>
      <c r="O36" s="2030"/>
      <c r="P36" s="4653"/>
      <c r="Q36" s="1507" t="str">
        <f t="shared" si="8"/>
        <v>土地级别</v>
      </c>
      <c r="R36" s="3761" t="s">
        <v>13</v>
      </c>
      <c r="S36" s="3763">
        <f t="shared" si="10"/>
        <v>100</v>
      </c>
      <c r="T36" s="3761" t="s">
        <v>13</v>
      </c>
      <c r="U36" s="3763">
        <f t="shared" si="11"/>
        <v>100</v>
      </c>
      <c r="V36" s="3761" t="s">
        <v>13</v>
      </c>
      <c r="W36" s="3763">
        <f t="shared" si="12"/>
        <v>100</v>
      </c>
      <c r="X36" s="909"/>
      <c r="Y36" s="4550"/>
      <c r="Z36" s="907" t="str">
        <f t="shared" si="13"/>
        <v>土地级别</v>
      </c>
      <c r="AA36" s="907">
        <f t="shared" si="3"/>
        <v>1</v>
      </c>
      <c r="AB36" s="907">
        <f t="shared" si="4"/>
        <v>1</v>
      </c>
      <c r="AC36" s="907">
        <f t="shared" si="5"/>
        <v>1</v>
      </c>
    </row>
    <row r="37" spans="1:29" ht="15.5">
      <c r="A37" s="3097"/>
      <c r="B37" s="2800">
        <v>111</v>
      </c>
      <c r="C37" s="3101"/>
      <c r="D37" s="2890">
        <v>100</v>
      </c>
      <c r="E37" s="3118"/>
      <c r="F37" s="3726">
        <f>SUMIF(111:111,E37,112:112)-SUMIF(111:111,C37,112:112)+100</f>
        <v>100</v>
      </c>
      <c r="G37" s="3118"/>
      <c r="H37" s="3726">
        <f>SUMIF(111:111,G37,112:112)-SUMIF(111:111,C37,112:112)+100</f>
        <v>100</v>
      </c>
      <c r="I37" s="3101"/>
      <c r="J37" s="3726">
        <f>SUMIF(111:111,I37,112:112)-SUMIF(111:111,C37,112:112)+100</f>
        <v>100</v>
      </c>
      <c r="K37" s="2858"/>
      <c r="L37" s="1980"/>
      <c r="M37" s="1975"/>
      <c r="N37" s="1975"/>
      <c r="O37" s="2030"/>
      <c r="P37" s="4653"/>
      <c r="Q37" s="1507">
        <f t="shared" si="8"/>
        <v>111</v>
      </c>
      <c r="R37" s="3761" t="s">
        <v>13</v>
      </c>
      <c r="S37" s="3763">
        <f t="shared" si="10"/>
        <v>100</v>
      </c>
      <c r="T37" s="3761" t="s">
        <v>13</v>
      </c>
      <c r="U37" s="3763">
        <f t="shared" si="11"/>
        <v>100</v>
      </c>
      <c r="V37" s="3761" t="s">
        <v>13</v>
      </c>
      <c r="W37" s="3763">
        <f t="shared" si="12"/>
        <v>100</v>
      </c>
      <c r="X37" s="909"/>
      <c r="Y37" s="4550"/>
      <c r="Z37" s="907">
        <f t="shared" si="13"/>
        <v>111</v>
      </c>
      <c r="AA37" s="907">
        <f t="shared" si="3"/>
        <v>1</v>
      </c>
      <c r="AB37" s="907">
        <f t="shared" si="4"/>
        <v>1</v>
      </c>
      <c r="AC37" s="907">
        <f t="shared" si="5"/>
        <v>1</v>
      </c>
    </row>
    <row r="38" spans="1:29" ht="15.5">
      <c r="A38" s="3102"/>
      <c r="B38" s="3103">
        <v>111</v>
      </c>
      <c r="C38" s="3101"/>
      <c r="D38" s="2890">
        <v>100</v>
      </c>
      <c r="E38" s="3118"/>
      <c r="F38" s="3726">
        <f>SUMIF(113:113,E39,114:114)-SUMIF(113:113,C39,114:114)+100</f>
        <v>100</v>
      </c>
      <c r="G38" s="3118"/>
      <c r="H38" s="3726">
        <f>SUMIF(113:113,G38,114:114)-SUMIF(113:113,C38,114:114)+100</f>
        <v>100</v>
      </c>
      <c r="I38" s="3101"/>
      <c r="J38" s="3726">
        <f>SUMIF(113:113,I38,114:114)-SUMIF(113:113,C38,114:114)+100</f>
        <v>100</v>
      </c>
      <c r="K38" s="2858"/>
      <c r="L38" s="1980"/>
      <c r="M38" s="1975"/>
      <c r="N38" s="1975"/>
      <c r="O38" s="2030"/>
      <c r="P38" s="4654" t="s">
        <v>1603</v>
      </c>
      <c r="Q38" s="1507">
        <f t="shared" si="8"/>
        <v>111</v>
      </c>
      <c r="R38" s="3761" t="s">
        <v>13</v>
      </c>
      <c r="S38" s="3763">
        <f t="shared" si="10"/>
        <v>100</v>
      </c>
      <c r="T38" s="3761" t="s">
        <v>13</v>
      </c>
      <c r="U38" s="3763">
        <f t="shared" si="11"/>
        <v>100</v>
      </c>
      <c r="V38" s="3761" t="s">
        <v>13</v>
      </c>
      <c r="W38" s="3763">
        <f t="shared" si="12"/>
        <v>100</v>
      </c>
      <c r="X38" s="909"/>
      <c r="Y38" s="4554" t="s">
        <v>1603</v>
      </c>
      <c r="Z38" s="907">
        <f t="shared" si="13"/>
        <v>111</v>
      </c>
      <c r="AA38" s="907">
        <f t="shared" si="3"/>
        <v>1</v>
      </c>
      <c r="AB38" s="907">
        <f t="shared" si="4"/>
        <v>1</v>
      </c>
      <c r="AC38" s="907">
        <f t="shared" si="5"/>
        <v>1</v>
      </c>
    </row>
    <row r="39" spans="1:29" s="279" customFormat="1" ht="16" thickBot="1">
      <c r="A39" s="3104"/>
      <c r="B39" s="3105">
        <v>111</v>
      </c>
      <c r="C39" s="3106"/>
      <c r="D39" s="3113">
        <v>100</v>
      </c>
      <c r="E39" s="3119"/>
      <c r="F39" s="3728">
        <f>SUMIF(115:115,E39,116:116)-SUMIF(115:115,C39,116:116)+100</f>
        <v>100</v>
      </c>
      <c r="G39" s="3119"/>
      <c r="H39" s="3728">
        <f>SUMIF(115:115,G39,116:116)-SUMIF(115:115,C39,116:116)+100</f>
        <v>100</v>
      </c>
      <c r="I39" s="3106"/>
      <c r="J39" s="3728">
        <f>SUMIF(115:115,I39,116:116)-SUMIF(115:115,C39,116:116)+100</f>
        <v>100</v>
      </c>
      <c r="K39" s="2858"/>
      <c r="L39" s="1979"/>
      <c r="M39" s="1981"/>
      <c r="N39" s="1981"/>
      <c r="O39" s="2031"/>
      <c r="P39" s="4655"/>
      <c r="Q39" s="1507">
        <f t="shared" si="8"/>
        <v>111</v>
      </c>
      <c r="R39" s="3762" t="s">
        <v>13</v>
      </c>
      <c r="S39" s="3764">
        <f t="shared" si="10"/>
        <v>100</v>
      </c>
      <c r="T39" s="3762" t="s">
        <v>13</v>
      </c>
      <c r="U39" s="3764">
        <f t="shared" si="11"/>
        <v>100</v>
      </c>
      <c r="V39" s="3762" t="s">
        <v>13</v>
      </c>
      <c r="W39" s="3764">
        <f t="shared" si="12"/>
        <v>100</v>
      </c>
      <c r="X39" s="484"/>
      <c r="Y39" s="4554"/>
      <c r="Z39" s="485">
        <f t="shared" si="13"/>
        <v>111</v>
      </c>
      <c r="AA39" s="907">
        <f t="shared" si="3"/>
        <v>1</v>
      </c>
      <c r="AB39" s="907">
        <f t="shared" si="4"/>
        <v>1</v>
      </c>
      <c r="AC39" s="907">
        <f t="shared" si="5"/>
        <v>1</v>
      </c>
    </row>
    <row r="40" spans="1:29" ht="15.5">
      <c r="A40" s="3107" t="s">
        <v>1601</v>
      </c>
      <c r="B40" s="2798" t="s">
        <v>1781</v>
      </c>
      <c r="C40" s="3108"/>
      <c r="D40" s="2897">
        <v>100</v>
      </c>
      <c r="E40" s="3108"/>
      <c r="F40" s="3733" t="e">
        <f>LOOKUP(E40,118:118,119:119)-LOOKUP(C40,118:118,119:119)+100</f>
        <v>#N/A</v>
      </c>
      <c r="G40" s="3108"/>
      <c r="H40" s="3733" t="e">
        <f>LOOKUP(G40,118:118,119:119)-LOOKUP(C40,118:118,119:119)+100</f>
        <v>#N/A</v>
      </c>
      <c r="I40" s="3121"/>
      <c r="J40" s="3733" t="e">
        <f>LOOKUP(I40,118:118,119:119)-LOOKUP(C40,118:118,119:119)+100</f>
        <v>#N/A</v>
      </c>
      <c r="K40" s="2858"/>
      <c r="L40" s="1980"/>
      <c r="M40" s="1975"/>
      <c r="N40" s="1975"/>
      <c r="O40" s="2030"/>
      <c r="P40" s="4655"/>
      <c r="Q40" s="1507" t="str">
        <f>B40</f>
        <v>宗地面积</v>
      </c>
      <c r="R40" s="3761" t="s">
        <v>13</v>
      </c>
      <c r="S40" s="3763" t="e">
        <f t="shared" si="10"/>
        <v>#N/A</v>
      </c>
      <c r="T40" s="3761" t="s">
        <v>13</v>
      </c>
      <c r="U40" s="3763" t="e">
        <f t="shared" si="11"/>
        <v>#N/A</v>
      </c>
      <c r="V40" s="3761" t="s">
        <v>13</v>
      </c>
      <c r="W40" s="3763" t="e">
        <f t="shared" si="12"/>
        <v>#N/A</v>
      </c>
      <c r="X40" s="909"/>
      <c r="Y40" s="4554"/>
      <c r="Z40" s="907" t="str">
        <f t="shared" si="13"/>
        <v>宗地面积</v>
      </c>
      <c r="AA40" s="907" t="e">
        <f t="shared" si="3"/>
        <v>#N/A</v>
      </c>
      <c r="AB40" s="907" t="e">
        <f t="shared" si="4"/>
        <v>#N/A</v>
      </c>
      <c r="AC40" s="907" t="e">
        <f t="shared" si="5"/>
        <v>#N/A</v>
      </c>
    </row>
    <row r="41" spans="1:29" ht="15.5">
      <c r="A41" s="3107"/>
      <c r="B41" s="2789" t="s">
        <v>1782</v>
      </c>
      <c r="C41" s="2826"/>
      <c r="D41" s="2890">
        <v>100</v>
      </c>
      <c r="E41" s="2826"/>
      <c r="F41" s="3726">
        <f>SUMIF(120:120,E41,121:121)-SUMIF(120:120,C41,121:121)+100</f>
        <v>100</v>
      </c>
      <c r="G41" s="2826"/>
      <c r="H41" s="3726">
        <f>SUMIF(120:120,G41,121:121)-SUMIF(120:120,C41,121:121)+100</f>
        <v>100</v>
      </c>
      <c r="I41" s="2826"/>
      <c r="J41" s="3726">
        <f>SUMIF(120:120,I41,121:121)-SUMIF(120:120,C41,121:121)+100</f>
        <v>100</v>
      </c>
      <c r="K41" s="2857"/>
      <c r="L41" s="1980"/>
      <c r="M41" s="1975"/>
      <c r="N41" s="1975"/>
      <c r="O41" s="2030"/>
      <c r="P41" s="4655"/>
      <c r="Q41" s="1507" t="str">
        <f t="shared" ref="Q41:Q47" si="14">B41</f>
        <v>宗地形状</v>
      </c>
      <c r="R41" s="3761" t="s">
        <v>13</v>
      </c>
      <c r="S41" s="3763">
        <f t="shared" si="10"/>
        <v>100</v>
      </c>
      <c r="T41" s="3761" t="s">
        <v>13</v>
      </c>
      <c r="U41" s="3763">
        <f t="shared" si="11"/>
        <v>100</v>
      </c>
      <c r="V41" s="3761" t="s">
        <v>13</v>
      </c>
      <c r="W41" s="3763">
        <f t="shared" si="12"/>
        <v>100</v>
      </c>
      <c r="X41" s="909"/>
      <c r="Y41" s="4554"/>
      <c r="Z41" s="907" t="str">
        <f t="shared" si="13"/>
        <v>宗地形状</v>
      </c>
      <c r="AA41" s="907">
        <f t="shared" si="3"/>
        <v>1</v>
      </c>
      <c r="AB41" s="907">
        <f t="shared" si="4"/>
        <v>1</v>
      </c>
      <c r="AC41" s="907">
        <f t="shared" si="5"/>
        <v>1</v>
      </c>
    </row>
    <row r="42" spans="1:29" ht="15.5">
      <c r="A42" s="3107"/>
      <c r="B42" s="2789" t="s">
        <v>1783</v>
      </c>
      <c r="C42" s="2826"/>
      <c r="D42" s="2890">
        <v>100</v>
      </c>
      <c r="E42" s="2826"/>
      <c r="F42" s="3726">
        <f>SUMIF(122:122,E42,123:123)-SUMIF(122:122,C42,123:123)+100</f>
        <v>100</v>
      </c>
      <c r="G42" s="2826"/>
      <c r="H42" s="3726">
        <f>SUMIF(122:122,G42,123:123)-SUMIF(122:122,C42,123:123)+100</f>
        <v>100</v>
      </c>
      <c r="I42" s="2826"/>
      <c r="J42" s="3726">
        <f>SUMIF(122:122,I42,123:123)-SUMIF(122:122,C42,123:123)+100</f>
        <v>100</v>
      </c>
      <c r="K42" s="2857"/>
      <c r="L42" s="1980"/>
      <c r="M42" s="1975"/>
      <c r="N42" s="1975"/>
      <c r="O42" s="2030"/>
      <c r="P42" s="4655"/>
      <c r="Q42" s="1507" t="str">
        <f t="shared" si="14"/>
        <v>临街宽度及深度</v>
      </c>
      <c r="R42" s="3761" t="s">
        <v>13</v>
      </c>
      <c r="S42" s="3763">
        <f t="shared" si="10"/>
        <v>100</v>
      </c>
      <c r="T42" s="3761" t="s">
        <v>13</v>
      </c>
      <c r="U42" s="3763">
        <f t="shared" si="11"/>
        <v>100</v>
      </c>
      <c r="V42" s="3761" t="s">
        <v>13</v>
      </c>
      <c r="W42" s="3763">
        <f t="shared" si="12"/>
        <v>100</v>
      </c>
      <c r="X42" s="909"/>
      <c r="Y42" s="4554"/>
      <c r="Z42" s="907" t="str">
        <f t="shared" si="13"/>
        <v>临街宽度及深度</v>
      </c>
      <c r="AA42" s="907">
        <f t="shared" si="3"/>
        <v>1</v>
      </c>
      <c r="AB42" s="907">
        <f t="shared" si="4"/>
        <v>1</v>
      </c>
      <c r="AC42" s="907">
        <f t="shared" si="5"/>
        <v>1</v>
      </c>
    </row>
    <row r="43" spans="1:29" s="46" customFormat="1" ht="15.5">
      <c r="A43" s="3109"/>
      <c r="B43" s="2789" t="s">
        <v>1784</v>
      </c>
      <c r="C43" s="3110"/>
      <c r="D43" s="2888">
        <v>100</v>
      </c>
      <c r="E43" s="3110"/>
      <c r="F43" s="3726">
        <f>SUMIF(124:124,E43,125:125)-SUMIF(124:124,C43,125:125)+100</f>
        <v>100</v>
      </c>
      <c r="G43" s="3110"/>
      <c r="H43" s="3726">
        <f>SUMIF(124:124,G43,125:125)-SUMIF(124:124,C43,125:125)+100</f>
        <v>100</v>
      </c>
      <c r="I43" s="3110"/>
      <c r="J43" s="3726">
        <f>SUMIF(124:124,I43,125:125)-SUMIF(124:124,C43,125:125)+100</f>
        <v>100</v>
      </c>
      <c r="K43" s="2857"/>
      <c r="L43" s="1976"/>
      <c r="M43" s="1929"/>
      <c r="N43" s="1929"/>
      <c r="O43" s="2028"/>
      <c r="P43" s="4655"/>
      <c r="Q43" s="1507" t="str">
        <f t="shared" si="14"/>
        <v>宗地开发程度</v>
      </c>
      <c r="R43" s="3760" t="s">
        <v>13</v>
      </c>
      <c r="S43" s="3542">
        <f t="shared" si="10"/>
        <v>100</v>
      </c>
      <c r="T43" s="3760" t="s">
        <v>13</v>
      </c>
      <c r="U43" s="3542">
        <f t="shared" si="11"/>
        <v>100</v>
      </c>
      <c r="V43" s="3760" t="s">
        <v>13</v>
      </c>
      <c r="W43" s="3542">
        <f t="shared" si="12"/>
        <v>100</v>
      </c>
      <c r="X43" s="482"/>
      <c r="Y43" s="4554"/>
      <c r="Z43" s="28" t="str">
        <f t="shared" si="13"/>
        <v>宗地开发程度</v>
      </c>
      <c r="AA43" s="28">
        <f t="shared" si="3"/>
        <v>1</v>
      </c>
      <c r="AB43" s="28">
        <f t="shared" si="4"/>
        <v>1</v>
      </c>
      <c r="AC43" s="28">
        <f t="shared" si="5"/>
        <v>1</v>
      </c>
    </row>
    <row r="44" spans="1:29" ht="15.5">
      <c r="A44" s="3107"/>
      <c r="B44" s="2789" t="s">
        <v>1785</v>
      </c>
      <c r="C44" s="2826"/>
      <c r="D44" s="2890">
        <v>100</v>
      </c>
      <c r="E44" s="2826"/>
      <c r="F44" s="3726">
        <f>SUMIF(126:126,E44,127:127)-SUMIF(126:126,C44,127:127)+100</f>
        <v>100</v>
      </c>
      <c r="G44" s="2826"/>
      <c r="H44" s="3726">
        <f>SUMIF(126:126,G44,127:127)-SUMIF(126:126,C44,127:127)+100</f>
        <v>100</v>
      </c>
      <c r="I44" s="2826"/>
      <c r="J44" s="3726">
        <f>SUMIF(126:126,I44,127:127)-SUMIF(126:126,C44,127:127)+100</f>
        <v>100</v>
      </c>
      <c r="K44" s="2857"/>
      <c r="L44" s="1980"/>
      <c r="M44" s="1975"/>
      <c r="N44" s="1975"/>
      <c r="O44" s="2030"/>
      <c r="P44" s="4655" t="s">
        <v>1603</v>
      </c>
      <c r="Q44" s="1507" t="str">
        <f t="shared" si="14"/>
        <v>工程地质条件</v>
      </c>
      <c r="R44" s="3761" t="s">
        <v>13</v>
      </c>
      <c r="S44" s="3763">
        <f t="shared" si="10"/>
        <v>100</v>
      </c>
      <c r="T44" s="3761" t="s">
        <v>13</v>
      </c>
      <c r="U44" s="3763">
        <f t="shared" si="11"/>
        <v>100</v>
      </c>
      <c r="V44" s="3761" t="s">
        <v>13</v>
      </c>
      <c r="W44" s="3763">
        <f t="shared" si="12"/>
        <v>100</v>
      </c>
      <c r="X44" s="909"/>
      <c r="Y44" s="4554" t="s">
        <v>1603</v>
      </c>
      <c r="Z44" s="907" t="str">
        <f t="shared" si="13"/>
        <v>工程地质条件</v>
      </c>
      <c r="AA44" s="907">
        <f t="shared" si="3"/>
        <v>1</v>
      </c>
      <c r="AB44" s="907">
        <f t="shared" si="4"/>
        <v>1</v>
      </c>
      <c r="AC44" s="907">
        <f t="shared" si="5"/>
        <v>1</v>
      </c>
    </row>
    <row r="45" spans="1:29" ht="15.5">
      <c r="A45" s="3107"/>
      <c r="B45" s="3103">
        <v>111</v>
      </c>
      <c r="C45" s="3101"/>
      <c r="D45" s="2890">
        <v>100</v>
      </c>
      <c r="E45" s="3101"/>
      <c r="F45" s="3726">
        <f>SUMIF(128:128,E45,129:129)-SUMIF(128:128,C45,129:129)+100</f>
        <v>100</v>
      </c>
      <c r="G45" s="3101"/>
      <c r="H45" s="3726">
        <f>SUMIF(128:128,G45,129:129)-SUMIF(128:128,C45,129:129)+100</f>
        <v>100</v>
      </c>
      <c r="I45" s="3115"/>
      <c r="J45" s="3726">
        <f>SUMIF(128:128,I45,129:129)-SUMIF(128:128,C45,129:129)+100</f>
        <v>100</v>
      </c>
      <c r="K45" s="2858"/>
      <c r="L45" s="1980"/>
      <c r="M45" s="1975"/>
      <c r="N45" s="1975"/>
      <c r="O45" s="2030"/>
      <c r="P45" s="4655"/>
      <c r="Q45" s="1507">
        <f t="shared" si="14"/>
        <v>111</v>
      </c>
      <c r="R45" s="3761" t="s">
        <v>13</v>
      </c>
      <c r="S45" s="3763">
        <f t="shared" si="10"/>
        <v>100</v>
      </c>
      <c r="T45" s="3761" t="s">
        <v>13</v>
      </c>
      <c r="U45" s="3763">
        <f t="shared" si="11"/>
        <v>100</v>
      </c>
      <c r="V45" s="3761" t="s">
        <v>13</v>
      </c>
      <c r="W45" s="3763">
        <f t="shared" si="12"/>
        <v>100</v>
      </c>
      <c r="X45" s="909"/>
      <c r="Y45" s="4554"/>
      <c r="Z45" s="907">
        <f t="shared" si="13"/>
        <v>111</v>
      </c>
      <c r="AA45" s="907">
        <f t="shared" si="3"/>
        <v>1</v>
      </c>
      <c r="AB45" s="907">
        <f t="shared" si="4"/>
        <v>1</v>
      </c>
      <c r="AC45" s="907">
        <f t="shared" si="5"/>
        <v>1</v>
      </c>
    </row>
    <row r="46" spans="1:29" ht="15.5">
      <c r="A46" s="3107"/>
      <c r="B46" s="3103">
        <v>111</v>
      </c>
      <c r="C46" s="3101"/>
      <c r="D46" s="2890">
        <v>100</v>
      </c>
      <c r="E46" s="3101"/>
      <c r="F46" s="3726">
        <f>SUMIF(130:130,E46,131:131)-SUMIF(130:130,C46,131:131)+100</f>
        <v>100</v>
      </c>
      <c r="G46" s="3101"/>
      <c r="H46" s="3726">
        <f>SUMIF(130:130,G46,131:131)-SUMIF(130:130,C46,131:131)+100</f>
        <v>100</v>
      </c>
      <c r="I46" s="3115"/>
      <c r="J46" s="3726">
        <f>SUMIF(130:130,I46,131:131)-SUMIF(130:130,C46,131:131)+100</f>
        <v>100</v>
      </c>
      <c r="K46" s="2858"/>
      <c r="L46" s="1980"/>
      <c r="M46" s="1975"/>
      <c r="N46" s="1975"/>
      <c r="O46" s="2030"/>
      <c r="P46" s="4655"/>
      <c r="Q46" s="1507">
        <f t="shared" si="14"/>
        <v>111</v>
      </c>
      <c r="R46" s="3761" t="s">
        <v>13</v>
      </c>
      <c r="S46" s="3763">
        <f t="shared" si="10"/>
        <v>100</v>
      </c>
      <c r="T46" s="3761" t="s">
        <v>13</v>
      </c>
      <c r="U46" s="3763">
        <f t="shared" si="11"/>
        <v>100</v>
      </c>
      <c r="V46" s="3761" t="s">
        <v>13</v>
      </c>
      <c r="W46" s="3763">
        <f t="shared" si="12"/>
        <v>100</v>
      </c>
      <c r="X46" s="909"/>
      <c r="Y46" s="4554"/>
      <c r="Z46" s="907">
        <f t="shared" si="13"/>
        <v>111</v>
      </c>
      <c r="AA46" s="907">
        <f t="shared" si="3"/>
        <v>1</v>
      </c>
      <c r="AB46" s="907">
        <f t="shared" si="4"/>
        <v>1</v>
      </c>
      <c r="AC46" s="907">
        <f t="shared" si="5"/>
        <v>1</v>
      </c>
    </row>
    <row r="47" spans="1:29" s="279" customFormat="1" ht="16" thickBot="1">
      <c r="A47" s="3111"/>
      <c r="B47" s="3103">
        <v>111</v>
      </c>
      <c r="C47" s="3112"/>
      <c r="D47" s="3114">
        <v>100</v>
      </c>
      <c r="E47" s="3101"/>
      <c r="F47" s="3728">
        <f>SUMIF(132:132,E47,133:133)-SUMIF(132:132,C47,133:133)+100</f>
        <v>100</v>
      </c>
      <c r="G47" s="3101"/>
      <c r="H47" s="3728">
        <f>SUMIF(132:132,G47,133:133)-SUMIF(132:132,C47,133:133)+100</f>
        <v>100</v>
      </c>
      <c r="I47" s="3101"/>
      <c r="J47" s="3728">
        <f>SUMIF(132:132,I47,133:133)-SUMIF(132:132,C47,133:133)+100</f>
        <v>100</v>
      </c>
      <c r="K47" s="3152"/>
      <c r="L47" s="1979"/>
      <c r="M47" s="1981"/>
      <c r="N47" s="1981"/>
      <c r="O47" s="2031"/>
      <c r="P47" s="4655"/>
      <c r="Q47" s="1507">
        <f t="shared" si="14"/>
        <v>111</v>
      </c>
      <c r="R47" s="3762" t="s">
        <v>13</v>
      </c>
      <c r="S47" s="3764">
        <f t="shared" si="10"/>
        <v>100</v>
      </c>
      <c r="T47" s="3762" t="s">
        <v>13</v>
      </c>
      <c r="U47" s="3764">
        <f t="shared" si="11"/>
        <v>100</v>
      </c>
      <c r="V47" s="3762" t="s">
        <v>13</v>
      </c>
      <c r="W47" s="3764">
        <f t="shared" si="12"/>
        <v>100</v>
      </c>
      <c r="X47" s="484"/>
      <c r="Y47" s="4554"/>
      <c r="Z47" s="485">
        <f t="shared" si="13"/>
        <v>111</v>
      </c>
      <c r="AA47" s="907">
        <f t="shared" si="3"/>
        <v>1</v>
      </c>
      <c r="AB47" s="907">
        <f t="shared" si="4"/>
        <v>1</v>
      </c>
      <c r="AC47" s="907">
        <f t="shared" si="5"/>
        <v>1</v>
      </c>
    </row>
    <row r="48" spans="1:29">
      <c r="A48" s="286" t="s">
        <v>1751</v>
      </c>
      <c r="B48" s="1430" t="s">
        <v>1786</v>
      </c>
      <c r="C48" s="439" t="s">
        <v>0</v>
      </c>
      <c r="D48" s="288"/>
      <c r="E48" s="3205"/>
      <c r="F48" s="3153"/>
      <c r="G48" s="3206"/>
      <c r="H48" s="3154"/>
      <c r="I48" s="3205"/>
      <c r="J48" s="3154"/>
      <c r="K48" s="2862"/>
      <c r="L48" s="1982"/>
      <c r="M48" s="1975"/>
      <c r="N48" s="1975"/>
      <c r="O48" s="1975"/>
      <c r="P48" s="4547" t="str">
        <f>A48</f>
        <v>成交单价</v>
      </c>
      <c r="Q48" s="4547"/>
      <c r="R48" s="4548">
        <f>E48</f>
        <v>0</v>
      </c>
      <c r="S48" s="4548"/>
      <c r="T48" s="4548">
        <f>G48</f>
        <v>0</v>
      </c>
      <c r="U48" s="4548"/>
      <c r="V48" s="4548">
        <f>I48</f>
        <v>0</v>
      </c>
      <c r="W48" s="4548"/>
      <c r="X48" s="265"/>
      <c r="Y48" s="486"/>
      <c r="Z48" s="265"/>
      <c r="AA48" s="265"/>
      <c r="AB48" s="265"/>
      <c r="AC48" s="265"/>
    </row>
    <row r="49" spans="1:29" ht="14.5" thickBot="1">
      <c r="A49" s="289" t="s">
        <v>1700</v>
      </c>
      <c r="B49" s="440"/>
      <c r="C49" s="3745" t="e">
        <f>R50</f>
        <v>#DIV/0!</v>
      </c>
      <c r="D49" s="3847" t="s">
        <v>2042</v>
      </c>
      <c r="E49" s="3745" t="e">
        <f>R49</f>
        <v>#DIV/0!</v>
      </c>
      <c r="F49" s="2801"/>
      <c r="G49" s="3734" t="e">
        <f>T49</f>
        <v>#DIV/0!</v>
      </c>
      <c r="H49" s="2801"/>
      <c r="I49" s="3745" t="e">
        <f>V49</f>
        <v>#DIV/0!</v>
      </c>
      <c r="J49" s="2801"/>
      <c r="K49" s="2855">
        <f>F49+H49+J49</f>
        <v>0</v>
      </c>
      <c r="L49" s="1982"/>
      <c r="M49" s="1975"/>
      <c r="N49" s="1975"/>
      <c r="O49" s="1975"/>
      <c r="P49" s="4547" t="str">
        <f>A49</f>
        <v>比较价值（元/平方米）</v>
      </c>
      <c r="Q49" s="4547"/>
      <c r="R49" s="4548" t="e">
        <f>ROUND(PRODUCT(R48,AA9:AA47),0)</f>
        <v>#DIV/0!</v>
      </c>
      <c r="S49" s="4548"/>
      <c r="T49" s="4548" t="e">
        <f>ROUND(PRODUCT(T48,AB9:AB47),0)</f>
        <v>#DIV/0!</v>
      </c>
      <c r="U49" s="4548"/>
      <c r="V49" s="4548" t="e">
        <f>ROUND(PRODUCT(V48,AC9:AC47),0)</f>
        <v>#DIV/0!</v>
      </c>
      <c r="W49" s="4548"/>
      <c r="X49" s="265"/>
      <c r="Y49" s="265"/>
      <c r="Z49" s="265"/>
      <c r="AA49" s="265"/>
      <c r="AB49" s="265"/>
      <c r="AC49" s="265"/>
    </row>
    <row r="50" spans="1:29" ht="14.5" thickBot="1">
      <c r="A50" s="291" t="s">
        <v>1787</v>
      </c>
      <c r="B50" s="292"/>
      <c r="C50" s="3746" t="e">
        <f>R50</f>
        <v>#DIV/0!</v>
      </c>
      <c r="D50" s="293"/>
      <c r="E50" s="293"/>
      <c r="F50" s="293"/>
      <c r="G50" s="293"/>
      <c r="H50" s="293"/>
      <c r="I50" s="293"/>
      <c r="J50" s="293"/>
      <c r="K50" s="3126"/>
      <c r="L50" s="1982"/>
      <c r="M50" s="1975"/>
      <c r="N50" s="1975"/>
      <c r="O50" s="1975"/>
      <c r="P50" s="4544" t="str">
        <f>A50</f>
        <v>估价对象XX用房的比较价值（楼面单价，元/平方米）</v>
      </c>
      <c r="Q50" s="4545"/>
      <c r="R50" s="4546" t="e">
        <f>ROUND(IF(D49="简单平均",AVERAGE(R49:W49),R49*F49+T49*H49+V49*J49),0)</f>
        <v>#DIV/0!</v>
      </c>
      <c r="S50" s="4546"/>
      <c r="T50" s="4546"/>
      <c r="U50" s="4546"/>
      <c r="V50" s="4546"/>
      <c r="W50" s="4546"/>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06" t="s">
        <v>1794</v>
      </c>
      <c r="H57" s="467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4" t="e">
        <f>C50</f>
        <v>#DIV/0!</v>
      </c>
      <c r="C58" s="2831">
        <v>1</v>
      </c>
      <c r="D58" s="3065">
        <v>1</v>
      </c>
      <c r="E58" s="3064">
        <f>'数据-汇总表'!E8+'数据-汇总表'!E9</f>
        <v>9775.8700000000008</v>
      </c>
      <c r="F58" s="3086" t="e">
        <f t="shared" ref="F58:F66" si="15">ROUND(B58*E58/10000,0)</f>
        <v>#DIV/0!</v>
      </c>
      <c r="G58" s="4673"/>
      <c r="H58" s="4660"/>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4"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4"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4"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4" t="e">
        <f t="shared" si="17"/>
        <v>#DIV/0!</v>
      </c>
      <c r="C62" s="3063">
        <f t="shared" si="16"/>
        <v>0.3</v>
      </c>
      <c r="D62" s="3066">
        <v>0.25</v>
      </c>
      <c r="E62" s="3069">
        <f>'数据-汇总表'!E11</f>
        <v>1306.8499999999999</v>
      </c>
      <c r="F62" s="3086" t="e">
        <f t="shared" si="15"/>
        <v>#DIV/0!</v>
      </c>
      <c r="G62" s="3078" t="s">
        <v>1803</v>
      </c>
      <c r="H62" s="574" t="str">
        <f>项目基本情况!C37</f>
        <v>二级</v>
      </c>
      <c r="I62" s="3081">
        <f>SUMIF(修正!A59:A70,H62,修正!E59:E70)</f>
        <v>0.3</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4" t="e">
        <f t="shared" si="17"/>
        <v>#DIV/0!</v>
      </c>
      <c r="C63" s="3063">
        <f t="shared" si="16"/>
        <v>0.3</v>
      </c>
      <c r="D63" s="3066">
        <v>0.25</v>
      </c>
      <c r="E63" s="3069">
        <f>'数据-汇总表'!E12</f>
        <v>0</v>
      </c>
      <c r="F63" s="3086" t="e">
        <f t="shared" si="15"/>
        <v>#DIV/0!</v>
      </c>
      <c r="G63" s="3079" t="s">
        <v>1805</v>
      </c>
      <c r="H63" s="574" t="str">
        <f>IF(G63="商业",项目基本情况!B37,IF(G63="办公",项目基本情况!C37,IF(G63="住宅",项目基本情况!D37,项目基本情况!E37)))</f>
        <v>二级</v>
      </c>
      <c r="I63" s="3081">
        <f>SUMIF(修正!A59:A70,H63,修正!F59:F70)</f>
        <v>0.3</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4" t="e">
        <f t="shared" si="17"/>
        <v>#DIV/0!</v>
      </c>
      <c r="C64" s="3063">
        <f t="shared" si="16"/>
        <v>0</v>
      </c>
      <c r="D64" s="3066">
        <v>0.25</v>
      </c>
      <c r="E64" s="3069">
        <f>'数据-汇总表'!E13</f>
        <v>917.51</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4"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5" thickBot="1">
      <c r="A66" s="447" t="s">
        <v>1809</v>
      </c>
      <c r="B66" s="3774" t="e">
        <f t="shared" si="17"/>
        <v>#DIV/0!</v>
      </c>
      <c r="C66" s="3063">
        <f t="shared" si="16"/>
        <v>0.2</v>
      </c>
      <c r="D66" s="3066">
        <v>0.25</v>
      </c>
      <c r="E66" s="3069">
        <f>'数据-汇总表'!E15</f>
        <v>0</v>
      </c>
      <c r="F66" s="3086" t="e">
        <f t="shared" si="15"/>
        <v>#DIV/0!</v>
      </c>
      <c r="G66" s="3080" t="s">
        <v>1803</v>
      </c>
      <c r="H66" s="578" t="str">
        <f>项目基本情况!C37</f>
        <v>二级</v>
      </c>
      <c r="I66" s="3084">
        <f>SUMIF(修正!A59:A70,H66,修正!G59:G70)</f>
        <v>0.2</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87" t="s">
        <v>386</v>
      </c>
      <c r="E67" s="3070">
        <f>IF(B48="楼面地价",SUM(E58:E66),'数据-汇总表'!D3)</f>
        <v>12000.230000000001</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6"/>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8.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4.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4.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4.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8.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4.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4.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4.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3630</v>
      </c>
      <c r="B4" s="3388"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c r="A6" s="3160" t="s">
        <v>1676</v>
      </c>
      <c r="B6" s="3161"/>
      <c r="C6" s="4563" t="s">
        <v>1677</v>
      </c>
      <c r="D6" s="4564"/>
      <c r="E6" s="4565" t="s">
        <v>1678</v>
      </c>
      <c r="F6" s="4566"/>
      <c r="G6" s="4563" t="s">
        <v>1679</v>
      </c>
      <c r="H6" s="4564"/>
      <c r="I6" s="4563" t="s">
        <v>1680</v>
      </c>
      <c r="J6" s="4564"/>
      <c r="K6" s="393" t="s">
        <v>1681</v>
      </c>
      <c r="L6" s="1974"/>
      <c r="M6" s="1975"/>
      <c r="N6" s="1975"/>
      <c r="O6" s="1975"/>
      <c r="P6" s="4567" t="s">
        <v>1682</v>
      </c>
      <c r="Q6" s="4568"/>
      <c r="R6" s="4573" t="s">
        <v>1678</v>
      </c>
      <c r="S6" s="4574"/>
      <c r="T6" s="4573" t="s">
        <v>1679</v>
      </c>
      <c r="U6" s="4574"/>
      <c r="V6" s="4579" t="s">
        <v>1680</v>
      </c>
      <c r="W6" s="4579"/>
      <c r="X6" s="909"/>
      <c r="Y6" s="4588" t="s">
        <v>1682</v>
      </c>
      <c r="Z6" s="4589"/>
      <c r="AA6" s="4560" t="s">
        <v>1678</v>
      </c>
      <c r="AB6" s="4561" t="s">
        <v>1679</v>
      </c>
      <c r="AC6" s="4560" t="s">
        <v>1680</v>
      </c>
    </row>
    <row r="7" spans="1:29">
      <c r="A7" s="3097"/>
      <c r="B7" s="3162"/>
      <c r="C7" s="4582" t="s">
        <v>1580</v>
      </c>
      <c r="D7" s="4583"/>
      <c r="E7" s="4597" t="s">
        <v>1581</v>
      </c>
      <c r="F7" s="4598"/>
      <c r="G7" s="4582" t="s">
        <v>1582</v>
      </c>
      <c r="H7" s="4583"/>
      <c r="I7" s="4582" t="s">
        <v>1583</v>
      </c>
      <c r="J7" s="4583"/>
      <c r="K7" s="393"/>
      <c r="L7" s="1974"/>
      <c r="M7" s="1975"/>
      <c r="N7" s="1975"/>
      <c r="O7" s="1975"/>
      <c r="P7" s="4569"/>
      <c r="Q7" s="4570"/>
      <c r="R7" s="4575"/>
      <c r="S7" s="4576"/>
      <c r="T7" s="4575"/>
      <c r="U7" s="4576"/>
      <c r="V7" s="4579"/>
      <c r="W7" s="4579"/>
      <c r="X7" s="909"/>
      <c r="Y7" s="4590"/>
      <c r="Z7" s="4591"/>
      <c r="AA7" s="4561"/>
      <c r="AB7" s="4561"/>
      <c r="AC7" s="4561"/>
    </row>
    <row r="8" spans="1:29" ht="15" thickBot="1">
      <c r="A8" s="3163"/>
      <c r="B8" s="3164"/>
      <c r="C8" s="4674" t="s">
        <v>1826</v>
      </c>
      <c r="D8" s="4675"/>
      <c r="E8" s="4676" t="s">
        <v>1826</v>
      </c>
      <c r="F8" s="4677"/>
      <c r="G8" s="4674" t="s">
        <v>1826</v>
      </c>
      <c r="H8" s="4675"/>
      <c r="I8" s="4674" t="s">
        <v>1826</v>
      </c>
      <c r="J8" s="4675"/>
      <c r="K8" s="393" t="s">
        <v>1585</v>
      </c>
      <c r="L8" s="1974"/>
      <c r="M8" s="1975"/>
      <c r="N8" s="1975"/>
      <c r="O8" s="1975"/>
      <c r="P8" s="4571"/>
      <c r="Q8" s="4572"/>
      <c r="R8" s="4575"/>
      <c r="S8" s="4576"/>
      <c r="T8" s="4577"/>
      <c r="U8" s="4578"/>
      <c r="V8" s="4579"/>
      <c r="W8" s="4579"/>
      <c r="X8" s="909"/>
      <c r="Y8" s="4592"/>
      <c r="Z8" s="4593"/>
      <c r="AA8" s="4562"/>
      <c r="AB8" s="4562"/>
      <c r="AC8" s="4562"/>
    </row>
    <row r="9" spans="1:29" s="46" customFormat="1" ht="14.5" thickBot="1">
      <c r="A9" s="3089" t="s">
        <v>1586</v>
      </c>
      <c r="B9" s="3090"/>
      <c r="C9" s="2811">
        <f>'数据-取费表'!B2</f>
        <v>46090</v>
      </c>
      <c r="D9" s="2886">
        <v>100</v>
      </c>
      <c r="E9" s="2840"/>
      <c r="F9" s="3718">
        <f>SUMIF(67:67,YEAR(E9)&amp;"-"&amp;INT((MONTH(E9)+2)/3),68:68)</f>
        <v>0</v>
      </c>
      <c r="G9" s="3120"/>
      <c r="H9" s="3730">
        <f>SUMIF(67:67,YEAR(G9)&amp;"-"&amp;INT((MONTH(G9)+2)/3),68:68)</f>
        <v>0</v>
      </c>
      <c r="I9" s="3120"/>
      <c r="J9" s="3730">
        <f>SUMIF(67:67,YEAR(I9)&amp;"-"&amp;INT((MONTH(I9)+2)/3),68:68)</f>
        <v>0</v>
      </c>
      <c r="K9" s="22"/>
      <c r="L9" s="1976"/>
      <c r="M9" s="1929"/>
      <c r="N9" s="1929"/>
      <c r="O9" s="1929"/>
      <c r="P9" s="4584" t="s">
        <v>1587</v>
      </c>
      <c r="Q9" s="4594"/>
      <c r="R9" s="3760" t="s">
        <v>13</v>
      </c>
      <c r="S9" s="3542">
        <f t="shared" ref="S9:S17" si="0">F9</f>
        <v>0</v>
      </c>
      <c r="T9" s="3760" t="s">
        <v>13</v>
      </c>
      <c r="U9" s="3542">
        <f t="shared" ref="U9:U17" si="1">H9</f>
        <v>0</v>
      </c>
      <c r="V9" s="3760" t="s">
        <v>13</v>
      </c>
      <c r="W9" s="3542">
        <f t="shared" ref="W9:W17" si="2">J9</f>
        <v>0</v>
      </c>
      <c r="X9" s="482"/>
      <c r="Y9" s="4586" t="s">
        <v>1587</v>
      </c>
      <c r="Z9" s="4587"/>
      <c r="AA9" s="28" t="e">
        <f>D9/F9</f>
        <v>#DIV/0!</v>
      </c>
      <c r="AB9" s="28" t="e">
        <f>D9/H9</f>
        <v>#DIV/0!</v>
      </c>
      <c r="AC9" s="28" t="e">
        <f>D9/J9</f>
        <v>#DIV/0!</v>
      </c>
    </row>
    <row r="10" spans="1:29" s="46" customFormat="1" ht="14.5" thickBot="1">
      <c r="A10" s="3089" t="s">
        <v>1588</v>
      </c>
      <c r="B10" s="3090"/>
      <c r="C10" s="2812" t="s">
        <v>1589</v>
      </c>
      <c r="D10" s="2886">
        <v>100</v>
      </c>
      <c r="E10" s="2812"/>
      <c r="F10" s="3718">
        <f>SUMIF(70:70,E10,71:71)-SUMIF(70:70,C10,71:71)+100</f>
        <v>0</v>
      </c>
      <c r="G10" s="2812"/>
      <c r="H10" s="3730">
        <f>SUMIF(70:70,G10,71:71)-SUMIF(70:70,C10,71:71)+100</f>
        <v>0</v>
      </c>
      <c r="I10" s="2812"/>
      <c r="J10" s="3730">
        <f>SUMIF(70:70,I10,71:71)-SUMIF(70:70,C10,71:71)+100</f>
        <v>0</v>
      </c>
      <c r="K10" s="22"/>
      <c r="L10" s="1976"/>
      <c r="M10" s="1929"/>
      <c r="N10" s="1929"/>
      <c r="O10" s="1929"/>
      <c r="P10" s="4584" t="s">
        <v>1590</v>
      </c>
      <c r="Q10" s="4585"/>
      <c r="R10" s="3760" t="s">
        <v>13</v>
      </c>
      <c r="S10" s="3542">
        <f t="shared" si="0"/>
        <v>0</v>
      </c>
      <c r="T10" s="3760" t="s">
        <v>13</v>
      </c>
      <c r="U10" s="3542">
        <f t="shared" si="1"/>
        <v>0</v>
      </c>
      <c r="V10" s="3760" t="s">
        <v>13</v>
      </c>
      <c r="W10" s="3542">
        <f t="shared" si="2"/>
        <v>0</v>
      </c>
      <c r="X10" s="482"/>
      <c r="Y10" s="4586" t="s">
        <v>1590</v>
      </c>
      <c r="Z10" s="4587"/>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1">
        <f>SUMIF(72:72,E11,73:73)-SUMIF(72:72,C11,73:73)+100</f>
        <v>100</v>
      </c>
      <c r="G11" s="3091"/>
      <c r="H11" s="3731">
        <f>SUMIF(72:72,G11,73:73)-SUMIF(72:72,C11,73:73)+100</f>
        <v>100</v>
      </c>
      <c r="I11" s="3091"/>
      <c r="J11" s="3731">
        <f>SUMIF(72:72,I11,73:73)-SUMIF(72:72,C11,73:73)+100</f>
        <v>100</v>
      </c>
      <c r="K11" s="22"/>
      <c r="L11" s="1976"/>
      <c r="M11" s="1929"/>
      <c r="N11" s="1929"/>
      <c r="O11" s="2028"/>
      <c r="P11" s="4547" t="s">
        <v>1593</v>
      </c>
      <c r="Q11" s="1698" t="str">
        <f t="shared" ref="Q11:Q17" si="6">B11</f>
        <v>用途</v>
      </c>
      <c r="R11" s="3760" t="s">
        <v>13</v>
      </c>
      <c r="S11" s="3542">
        <f t="shared" si="0"/>
        <v>100</v>
      </c>
      <c r="T11" s="3760" t="s">
        <v>13</v>
      </c>
      <c r="U11" s="3542">
        <f t="shared" si="1"/>
        <v>100</v>
      </c>
      <c r="V11" s="3760" t="s">
        <v>13</v>
      </c>
      <c r="W11" s="3542">
        <f t="shared" si="2"/>
        <v>100</v>
      </c>
      <c r="X11" s="482"/>
      <c r="Y11" s="4559" t="s">
        <v>1594</v>
      </c>
      <c r="Z11" s="28" t="str">
        <f t="shared" ref="Z11:Z17" si="7">Q11</f>
        <v>用途</v>
      </c>
      <c r="AA11" s="28">
        <f t="shared" si="3"/>
        <v>1</v>
      </c>
      <c r="AB11" s="28">
        <f t="shared" si="4"/>
        <v>1</v>
      </c>
      <c r="AC11" s="28">
        <f t="shared" si="5"/>
        <v>1</v>
      </c>
    </row>
    <row r="12" spans="1:29" s="253" customFormat="1" ht="28">
      <c r="A12" s="3092"/>
      <c r="B12" s="2789" t="s">
        <v>1595</v>
      </c>
      <c r="C12" s="2816"/>
      <c r="D12" s="2888">
        <v>100</v>
      </c>
      <c r="E12" s="2816"/>
      <c r="F12" s="3732">
        <f>ROUND(100/'数据-取费表'!G16,1)</f>
        <v>156.9</v>
      </c>
      <c r="G12" s="2816"/>
      <c r="H12" s="3732">
        <f>ROUND(100/'数据-取费表'!G16,1)</f>
        <v>156.9</v>
      </c>
      <c r="I12" s="2816"/>
      <c r="J12" s="3732">
        <f>ROUND(100/'数据-取费表'!G16,1)</f>
        <v>156.9</v>
      </c>
      <c r="K12" s="434"/>
      <c r="L12" s="1977"/>
      <c r="M12" s="1978"/>
      <c r="N12" s="1978"/>
      <c r="O12" s="2029"/>
      <c r="P12" s="4547"/>
      <c r="Q12" s="1698" t="str">
        <f t="shared" si="6"/>
        <v>土地使用年限（年）</v>
      </c>
      <c r="R12" s="3760" t="s">
        <v>13</v>
      </c>
      <c r="S12" s="3542">
        <f t="shared" si="0"/>
        <v>156.9</v>
      </c>
      <c r="T12" s="3760" t="s">
        <v>13</v>
      </c>
      <c r="U12" s="3542">
        <f t="shared" si="1"/>
        <v>156.9</v>
      </c>
      <c r="V12" s="3760" t="s">
        <v>13</v>
      </c>
      <c r="W12" s="3542">
        <f t="shared" si="2"/>
        <v>156.9</v>
      </c>
      <c r="X12" s="482"/>
      <c r="Y12" s="4559"/>
      <c r="Z12" s="28" t="str">
        <f t="shared" si="7"/>
        <v>土地使用年限（年）</v>
      </c>
      <c r="AA12" s="28">
        <f t="shared" si="3"/>
        <v>0.63734862970044615</v>
      </c>
      <c r="AB12" s="28">
        <f t="shared" si="4"/>
        <v>0.63734862970044615</v>
      </c>
      <c r="AC12" s="28">
        <f t="shared" si="5"/>
        <v>0.63734862970044615</v>
      </c>
    </row>
    <row r="13" spans="1:29" ht="15.5">
      <c r="A13" s="3093"/>
      <c r="B13" s="2789" t="s">
        <v>1596</v>
      </c>
      <c r="C13" s="2815"/>
      <c r="D13" s="2888">
        <v>100</v>
      </c>
      <c r="E13" s="2815"/>
      <c r="F13" s="3732" t="e">
        <f>LOOKUP(E13,77:77,78:78)-LOOKUP(C13,77:77,78:78)+100</f>
        <v>#N/A</v>
      </c>
      <c r="G13" s="2843"/>
      <c r="H13" s="3732" t="e">
        <f>LOOKUP(G13,77:77,78:78)-LOOKUP(C13,77:77,78:78)+100</f>
        <v>#N/A</v>
      </c>
      <c r="I13" s="2815"/>
      <c r="J13" s="3732" t="e">
        <f>LOOKUP(I13,77:77,78:78)-LOOKUP(C13,77:77,78:78)+100</f>
        <v>#N/A</v>
      </c>
      <c r="K13" s="435"/>
      <c r="L13" s="1979"/>
      <c r="M13" s="1975"/>
      <c r="N13" s="1975"/>
      <c r="O13" s="2030"/>
      <c r="P13" s="4547"/>
      <c r="Q13" s="1698" t="str">
        <f t="shared" si="6"/>
        <v>容积率</v>
      </c>
      <c r="R13" s="3760" t="s">
        <v>13</v>
      </c>
      <c r="S13" s="3542" t="e">
        <f t="shared" si="0"/>
        <v>#N/A</v>
      </c>
      <c r="T13" s="3760" t="s">
        <v>13</v>
      </c>
      <c r="U13" s="3542" t="e">
        <f t="shared" si="1"/>
        <v>#N/A</v>
      </c>
      <c r="V13" s="3760" t="s">
        <v>13</v>
      </c>
      <c r="W13" s="3542" t="e">
        <f t="shared" si="2"/>
        <v>#N/A</v>
      </c>
      <c r="X13" s="482"/>
      <c r="Y13" s="4559"/>
      <c r="Z13" s="28" t="str">
        <f t="shared" si="7"/>
        <v>容积率</v>
      </c>
      <c r="AA13" s="28" t="e">
        <f t="shared" si="3"/>
        <v>#N/A</v>
      </c>
      <c r="AB13" s="28" t="e">
        <f t="shared" si="4"/>
        <v>#N/A</v>
      </c>
      <c r="AC13" s="28" t="e">
        <f t="shared" si="5"/>
        <v>#N/A</v>
      </c>
    </row>
    <row r="14" spans="1:29" s="46" customFormat="1" ht="15.5">
      <c r="A14" s="3094"/>
      <c r="B14" s="2793">
        <v>111</v>
      </c>
      <c r="C14" s="2816"/>
      <c r="D14" s="2889">
        <v>100</v>
      </c>
      <c r="E14" s="3115"/>
      <c r="F14" s="3732">
        <f>SUMIF(79:79,E14,80:80)-SUMIF(79:79,C14,80:80)+100</f>
        <v>100</v>
      </c>
      <c r="G14" s="3101"/>
      <c r="H14" s="3732">
        <f>SUMIF(79:79,G14,80:80)-SUMIF(79:79,C14,80:80)+100</f>
        <v>100</v>
      </c>
      <c r="I14" s="3115"/>
      <c r="J14" s="3732">
        <f>SUMIF(79:79,I14,80:80)-SUMIF(79:79,C14,80:80)+100</f>
        <v>100</v>
      </c>
      <c r="K14" s="434"/>
      <c r="L14" s="1976"/>
      <c r="M14" s="1929"/>
      <c r="N14" s="1929"/>
      <c r="O14" s="2028"/>
      <c r="P14" s="4547"/>
      <c r="Q14" s="1698">
        <f t="shared" si="6"/>
        <v>111</v>
      </c>
      <c r="R14" s="3760" t="s">
        <v>13</v>
      </c>
      <c r="S14" s="3542">
        <f t="shared" si="0"/>
        <v>100</v>
      </c>
      <c r="T14" s="3760" t="s">
        <v>13</v>
      </c>
      <c r="U14" s="3542">
        <f t="shared" si="1"/>
        <v>100</v>
      </c>
      <c r="V14" s="3760" t="s">
        <v>13</v>
      </c>
      <c r="W14" s="3542">
        <f t="shared" si="2"/>
        <v>100</v>
      </c>
      <c r="X14" s="482"/>
      <c r="Y14" s="4559"/>
      <c r="Z14" s="28">
        <f t="shared" si="7"/>
        <v>111</v>
      </c>
      <c r="AA14" s="28">
        <f>D14/F14</f>
        <v>1</v>
      </c>
      <c r="AB14" s="28">
        <f>D14/H14</f>
        <v>1</v>
      </c>
      <c r="AC14" s="28">
        <f>D14/J14</f>
        <v>1</v>
      </c>
    </row>
    <row r="15" spans="1:29" ht="15.5">
      <c r="A15" s="3093"/>
      <c r="B15" s="2793">
        <v>111</v>
      </c>
      <c r="C15" s="2817"/>
      <c r="D15" s="2890">
        <v>100</v>
      </c>
      <c r="E15" s="3115"/>
      <c r="F15" s="3732">
        <f>SUMIF(81:81,E15,82:82)-SUMIF(81:81,C15,82:82)+100</f>
        <v>100</v>
      </c>
      <c r="G15" s="3101"/>
      <c r="H15" s="3726">
        <f>SUMIF(81:81,G15,82:82)-SUMIF(81:81,C15,82:82)+100</f>
        <v>100</v>
      </c>
      <c r="I15" s="3115"/>
      <c r="J15" s="3726">
        <f>SUMIF(81:81,I15,82:82)-SUMIF(81:81,C15,82:82)+100</f>
        <v>100</v>
      </c>
      <c r="K15" s="434"/>
      <c r="L15" s="1980"/>
      <c r="M15" s="1975"/>
      <c r="N15" s="1975"/>
      <c r="O15" s="2030"/>
      <c r="P15" s="4547"/>
      <c r="Q15" s="1698">
        <f t="shared" si="6"/>
        <v>111</v>
      </c>
      <c r="R15" s="3760" t="s">
        <v>13</v>
      </c>
      <c r="S15" s="3542">
        <f t="shared" si="0"/>
        <v>100</v>
      </c>
      <c r="T15" s="3760" t="s">
        <v>13</v>
      </c>
      <c r="U15" s="3542">
        <f t="shared" si="1"/>
        <v>100</v>
      </c>
      <c r="V15" s="3760" t="s">
        <v>13</v>
      </c>
      <c r="W15" s="3542">
        <f t="shared" si="2"/>
        <v>100</v>
      </c>
      <c r="X15" s="482"/>
      <c r="Y15" s="4559"/>
      <c r="Z15" s="28">
        <f t="shared" si="7"/>
        <v>111</v>
      </c>
      <c r="AA15" s="28">
        <f t="shared" si="3"/>
        <v>1</v>
      </c>
      <c r="AB15" s="28">
        <f t="shared" si="4"/>
        <v>1</v>
      </c>
      <c r="AC15" s="28">
        <f t="shared" si="5"/>
        <v>1</v>
      </c>
    </row>
    <row r="16" spans="1:29" ht="16" thickBot="1">
      <c r="A16" s="3095"/>
      <c r="B16" s="2794">
        <v>111</v>
      </c>
      <c r="C16" s="2818"/>
      <c r="D16" s="2891">
        <v>100</v>
      </c>
      <c r="E16" s="3115"/>
      <c r="F16" s="3728">
        <f>SUMIF(83:83,E16,84:84)-SUMIF(83:83,C16,84:84)+100</f>
        <v>100</v>
      </c>
      <c r="G16" s="3101"/>
      <c r="H16" s="3728">
        <f>SUMIF(83:83,G16,84:84)-SUMIF(83:83,C16,84:84)+100</f>
        <v>100</v>
      </c>
      <c r="I16" s="3115"/>
      <c r="J16" s="3728">
        <f>SUMIF(83:83,I16,84:84)-SUMIF(83:83,C16,84:84)+100</f>
        <v>100</v>
      </c>
      <c r="K16" s="434"/>
      <c r="L16" s="1980"/>
      <c r="M16" s="1975"/>
      <c r="N16" s="1975"/>
      <c r="O16" s="2030"/>
      <c r="P16" s="4547"/>
      <c r="Q16" s="1698">
        <f t="shared" si="6"/>
        <v>111</v>
      </c>
      <c r="R16" s="3760" t="s">
        <v>13</v>
      </c>
      <c r="S16" s="3542">
        <f t="shared" si="0"/>
        <v>100</v>
      </c>
      <c r="T16" s="3760" t="s">
        <v>13</v>
      </c>
      <c r="U16" s="3542">
        <f t="shared" si="1"/>
        <v>100</v>
      </c>
      <c r="V16" s="3760" t="s">
        <v>13</v>
      </c>
      <c r="W16" s="3542">
        <f t="shared" si="2"/>
        <v>100</v>
      </c>
      <c r="X16" s="482"/>
      <c r="Y16" s="4559"/>
      <c r="Z16" s="28">
        <f t="shared" si="7"/>
        <v>111</v>
      </c>
      <c r="AA16" s="28">
        <f t="shared" si="3"/>
        <v>1</v>
      </c>
      <c r="AB16" s="28">
        <f t="shared" si="4"/>
        <v>1</v>
      </c>
      <c r="AC16" s="28">
        <f t="shared" si="5"/>
        <v>1</v>
      </c>
    </row>
    <row r="17" spans="1:29" ht="70">
      <c r="A17" s="3096" t="s">
        <v>1597</v>
      </c>
      <c r="B17" s="3165" t="s">
        <v>1827</v>
      </c>
      <c r="C17" s="3174" t="str">
        <f>估价对象房地状况!G15</f>
        <v>估价对象位于XX开发区，园区建设成熟度XX，产业集聚程度XX</v>
      </c>
      <c r="D17" s="2892">
        <v>100</v>
      </c>
      <c r="E17" s="2844"/>
      <c r="F17" s="3722">
        <f>SUMIF(85:85,E18,86:86)-SUMIF(85:85,C18,86:86)+100</f>
        <v>100</v>
      </c>
      <c r="G17" s="2844"/>
      <c r="H17" s="3722">
        <f>SUMIF(85:85,G18,86:86)-SUMIF(85:85,C18,86:86)+100</f>
        <v>100</v>
      </c>
      <c r="I17" s="2850"/>
      <c r="J17" s="3722">
        <f>SUMIF(85:85,I18,86:86)-SUMIF(85:85,C18,86:86)+100</f>
        <v>100</v>
      </c>
      <c r="K17" s="435"/>
      <c r="L17" s="1980"/>
      <c r="M17" s="1975"/>
      <c r="N17" s="1975"/>
      <c r="O17" s="2030"/>
      <c r="P17" s="4652" t="s">
        <v>1598</v>
      </c>
      <c r="Q17" s="1507" t="str">
        <f t="shared" si="6"/>
        <v>产业集聚程度</v>
      </c>
      <c r="R17" s="3761" t="s">
        <v>13</v>
      </c>
      <c r="S17" s="3763">
        <f t="shared" si="0"/>
        <v>100</v>
      </c>
      <c r="T17" s="3761" t="s">
        <v>13</v>
      </c>
      <c r="U17" s="3763">
        <f t="shared" si="1"/>
        <v>100</v>
      </c>
      <c r="V17" s="3761" t="s">
        <v>13</v>
      </c>
      <c r="W17" s="3763">
        <f t="shared" si="2"/>
        <v>100</v>
      </c>
      <c r="X17" s="909"/>
      <c r="Y17" s="4549" t="s">
        <v>1598</v>
      </c>
      <c r="Z17" s="907" t="str">
        <f t="shared" si="7"/>
        <v>产业集聚程度</v>
      </c>
      <c r="AA17" s="907">
        <f t="shared" si="3"/>
        <v>1</v>
      </c>
      <c r="AB17" s="907">
        <f t="shared" si="4"/>
        <v>1</v>
      </c>
      <c r="AC17" s="907">
        <f t="shared" si="5"/>
        <v>1</v>
      </c>
    </row>
    <row r="18" spans="1:29" ht="15.5">
      <c r="A18" s="3093"/>
      <c r="B18" s="3166"/>
      <c r="C18" s="2820"/>
      <c r="D18" s="2893"/>
      <c r="E18" s="2871"/>
      <c r="F18" s="3723"/>
      <c r="G18" s="2871"/>
      <c r="H18" s="3724"/>
      <c r="I18" s="2871"/>
      <c r="J18" s="3723"/>
      <c r="K18" s="434"/>
      <c r="L18" s="1980"/>
      <c r="M18" s="1975"/>
      <c r="N18" s="1975"/>
      <c r="O18" s="2030"/>
      <c r="P18" s="4653"/>
      <c r="Q18" s="1507"/>
      <c r="R18" s="3761"/>
      <c r="S18" s="3763"/>
      <c r="T18" s="3761"/>
      <c r="U18" s="3763"/>
      <c r="V18" s="3761"/>
      <c r="W18" s="3763"/>
      <c r="X18" s="909"/>
      <c r="Y18" s="4550"/>
      <c r="Z18" s="907"/>
      <c r="AA18" s="907">
        <v>1</v>
      </c>
      <c r="AB18" s="907">
        <v>1</v>
      </c>
      <c r="AC18" s="907">
        <v>1</v>
      </c>
    </row>
    <row r="19" spans="1:29" ht="98">
      <c r="A19" s="3093"/>
      <c r="B19" s="3167" t="s">
        <v>1740</v>
      </c>
      <c r="C19" s="2821" t="str">
        <f>估价对象房地状况!G16</f>
        <v>估价对象周边道路状况、公共交通通达情况、停车便捷程度，综合评价交通便捷度较好</v>
      </c>
      <c r="D19" s="2894">
        <v>100</v>
      </c>
      <c r="E19" s="2845"/>
      <c r="F19" s="3725">
        <f>SUMIF(87:87,E20,88:88)-SUMIF(87:87,C20,88:88)+100</f>
        <v>100</v>
      </c>
      <c r="G19" s="2845"/>
      <c r="H19" s="3725">
        <f>SUMIF(87:87,G20,88:88)-SUMIF(87:87,C20,88:88)+100</f>
        <v>100</v>
      </c>
      <c r="I19" s="2851"/>
      <c r="J19" s="3724">
        <f>SUMIF(87:87,I20,88:88)-SUMIF(87:87,C20,88:88)+100</f>
        <v>100</v>
      </c>
      <c r="K19" s="435"/>
      <c r="L19" s="1980"/>
      <c r="M19" s="1975"/>
      <c r="N19" s="1975"/>
      <c r="O19" s="2030"/>
      <c r="P19" s="4653"/>
      <c r="Q19" s="1507" t="str">
        <f>B19</f>
        <v>交通便捷度</v>
      </c>
      <c r="R19" s="3761" t="s">
        <v>13</v>
      </c>
      <c r="S19" s="3763">
        <f>F19</f>
        <v>100</v>
      </c>
      <c r="T19" s="3761" t="s">
        <v>13</v>
      </c>
      <c r="U19" s="3763">
        <f>H19</f>
        <v>100</v>
      </c>
      <c r="V19" s="3761" t="s">
        <v>13</v>
      </c>
      <c r="W19" s="3763">
        <f>J19</f>
        <v>100</v>
      </c>
      <c r="X19" s="909"/>
      <c r="Y19" s="4550"/>
      <c r="Z19" s="907" t="str">
        <f>Q19</f>
        <v>交通便捷度</v>
      </c>
      <c r="AA19" s="907">
        <f t="shared" si="3"/>
        <v>1</v>
      </c>
      <c r="AB19" s="907">
        <f t="shared" si="4"/>
        <v>1</v>
      </c>
      <c r="AC19" s="907">
        <f t="shared" si="5"/>
        <v>1</v>
      </c>
    </row>
    <row r="20" spans="1:29" ht="15.5">
      <c r="A20" s="3093"/>
      <c r="B20" s="3168"/>
      <c r="C20" s="2820"/>
      <c r="D20" s="2893"/>
      <c r="E20" s="2848"/>
      <c r="F20" s="3723"/>
      <c r="G20" s="2848"/>
      <c r="H20" s="3723"/>
      <c r="I20" s="2854"/>
      <c r="J20" s="3723"/>
      <c r="K20" s="434"/>
      <c r="L20" s="1980"/>
      <c r="M20" s="1975"/>
      <c r="N20" s="1975"/>
      <c r="O20" s="2030"/>
      <c r="P20" s="4653"/>
      <c r="Q20" s="1507"/>
      <c r="R20" s="3761"/>
      <c r="S20" s="3763"/>
      <c r="T20" s="3761"/>
      <c r="U20" s="3763"/>
      <c r="V20" s="3761"/>
      <c r="W20" s="3763"/>
      <c r="X20" s="909"/>
      <c r="Y20" s="4550"/>
      <c r="Z20" s="907"/>
      <c r="AA20" s="907">
        <v>1</v>
      </c>
      <c r="AB20" s="907">
        <v>1</v>
      </c>
      <c r="AC20" s="907">
        <v>1</v>
      </c>
    </row>
    <row r="21" spans="1:29" ht="28">
      <c r="A21" s="3093"/>
      <c r="B21" s="3167" t="s">
        <v>1778</v>
      </c>
      <c r="C21" s="2821">
        <f>估价对象房地状况!G17</f>
        <v>0</v>
      </c>
      <c r="D21" s="2894">
        <v>100</v>
      </c>
      <c r="E21" s="2845"/>
      <c r="F21" s="3725">
        <f>SUMIF(89:89,E22,90:90)-SUMIF(89:89,C22,90:90)+100</f>
        <v>100</v>
      </c>
      <c r="G21" s="2845"/>
      <c r="H21" s="3725">
        <f>SUMIF(89:89,G22,90:90)-SUMIF(89:89,C22,90:90)+100</f>
        <v>100</v>
      </c>
      <c r="I21" s="2845"/>
      <c r="J21" s="3725">
        <f>SUMIF(89:89,I22,90:90)-SUMIF(89:89,C22,90:90)+100</f>
        <v>100</v>
      </c>
      <c r="K21" s="435"/>
      <c r="L21" s="1980"/>
      <c r="M21" s="1975"/>
      <c r="N21" s="1975"/>
      <c r="O21" s="2030"/>
      <c r="P21" s="4653"/>
      <c r="Q21" s="1507" t="str">
        <f t="shared" ref="Q21:Q35" si="8">B21</f>
        <v>区域土地利用方向</v>
      </c>
      <c r="R21" s="3761" t="s">
        <v>13</v>
      </c>
      <c r="S21" s="3763">
        <f>F21</f>
        <v>100</v>
      </c>
      <c r="T21" s="3761" t="s">
        <v>13</v>
      </c>
      <c r="U21" s="3763">
        <f>H21</f>
        <v>100</v>
      </c>
      <c r="V21" s="3761" t="s">
        <v>13</v>
      </c>
      <c r="W21" s="3763">
        <f>J21</f>
        <v>100</v>
      </c>
      <c r="X21" s="909"/>
      <c r="Y21" s="4550"/>
      <c r="Z21" s="907" t="str">
        <f>Q21</f>
        <v>区域土地利用方向</v>
      </c>
      <c r="AA21" s="907">
        <f t="shared" si="3"/>
        <v>1</v>
      </c>
      <c r="AB21" s="907">
        <f t="shared" si="4"/>
        <v>1</v>
      </c>
      <c r="AC21" s="907">
        <f t="shared" si="5"/>
        <v>1</v>
      </c>
    </row>
    <row r="22" spans="1:29" ht="15.5">
      <c r="A22" s="3097"/>
      <c r="B22" s="3168"/>
      <c r="C22" s="2820"/>
      <c r="D22" s="2893"/>
      <c r="E22" s="2848"/>
      <c r="F22" s="3723"/>
      <c r="G22" s="2848"/>
      <c r="H22" s="3723"/>
      <c r="I22" s="2848"/>
      <c r="J22" s="3723"/>
      <c r="K22" s="503"/>
      <c r="L22" s="1980"/>
      <c r="M22" s="1975"/>
      <c r="N22" s="1975"/>
      <c r="O22" s="2030"/>
      <c r="P22" s="4653"/>
      <c r="Q22" s="1507"/>
      <c r="R22" s="3761"/>
      <c r="S22" s="3763"/>
      <c r="T22" s="3761"/>
      <c r="U22" s="3763"/>
      <c r="V22" s="3761"/>
      <c r="W22" s="3763"/>
      <c r="X22" s="909"/>
      <c r="Y22" s="4550"/>
      <c r="Z22" s="907"/>
      <c r="AA22" s="907"/>
      <c r="AB22" s="907"/>
      <c r="AC22" s="907"/>
    </row>
    <row r="23" spans="1:29" ht="84">
      <c r="A23" s="3097"/>
      <c r="B23" s="3167" t="s">
        <v>1828</v>
      </c>
      <c r="C23" s="2821" t="str">
        <f>估价对象房地状况!G18</f>
        <v>该园区内是否有污染型企业，绿化情况，卫生条件，整体环境状况判断</v>
      </c>
      <c r="D23" s="2894">
        <v>100</v>
      </c>
      <c r="E23" s="2845"/>
      <c r="F23" s="3724">
        <f>SUMIF(91:91,E24,92:92)-SUMIF(91:91,C24,92:92)+100</f>
        <v>100</v>
      </c>
      <c r="G23" s="2845"/>
      <c r="H23" s="3724">
        <f>SUMIF(91:91,G24,92:92)-SUMIF(91:91,C24,92:92)+100</f>
        <v>100</v>
      </c>
      <c r="I23" s="2851"/>
      <c r="J23" s="3724">
        <f>SUMIF(91:91,I24,92:92)-SUMIF(91:91,C24,92:92)+100</f>
        <v>100</v>
      </c>
      <c r="K23" s="435"/>
      <c r="L23" s="1980"/>
      <c r="M23" s="1975"/>
      <c r="N23" s="1975"/>
      <c r="O23" s="2030"/>
      <c r="P23" s="4653"/>
      <c r="Q23" s="1507" t="str">
        <f t="shared" si="8"/>
        <v>环境状况</v>
      </c>
      <c r="R23" s="3761" t="s">
        <v>13</v>
      </c>
      <c r="S23" s="3763">
        <f>F23</f>
        <v>100</v>
      </c>
      <c r="T23" s="3761" t="s">
        <v>13</v>
      </c>
      <c r="U23" s="3763">
        <f>H23</f>
        <v>100</v>
      </c>
      <c r="V23" s="3761" t="s">
        <v>13</v>
      </c>
      <c r="W23" s="3763">
        <f>J23</f>
        <v>100</v>
      </c>
      <c r="X23" s="909"/>
      <c r="Y23" s="4550"/>
      <c r="Z23" s="907" t="str">
        <f>Q23</f>
        <v>环境状况</v>
      </c>
      <c r="AA23" s="907">
        <f t="shared" si="3"/>
        <v>1</v>
      </c>
      <c r="AB23" s="907">
        <f t="shared" si="4"/>
        <v>1</v>
      </c>
      <c r="AC23" s="907">
        <f t="shared" si="5"/>
        <v>1</v>
      </c>
    </row>
    <row r="24" spans="1:29" ht="15.5">
      <c r="A24" s="3097"/>
      <c r="B24" s="3168"/>
      <c r="C24" s="2820"/>
      <c r="D24" s="2893"/>
      <c r="E24" s="2871"/>
      <c r="F24" s="3723"/>
      <c r="G24" s="2871"/>
      <c r="H24" s="3723"/>
      <c r="I24" s="2820"/>
      <c r="J24" s="3723"/>
      <c r="K24" s="434"/>
      <c r="L24" s="1980"/>
      <c r="M24" s="1975"/>
      <c r="N24" s="1975"/>
      <c r="O24" s="2030"/>
      <c r="P24" s="4653"/>
      <c r="Q24" s="1507"/>
      <c r="R24" s="3761"/>
      <c r="S24" s="3763"/>
      <c r="T24" s="3761"/>
      <c r="U24" s="3763"/>
      <c r="V24" s="3761"/>
      <c r="W24" s="3763"/>
      <c r="X24" s="909"/>
      <c r="Y24" s="4550"/>
      <c r="Z24" s="907"/>
      <c r="AA24" s="907">
        <v>1</v>
      </c>
      <c r="AB24" s="907">
        <v>1</v>
      </c>
      <c r="AC24" s="907">
        <v>1</v>
      </c>
    </row>
    <row r="25" spans="1:29" s="46" customFormat="1" ht="42">
      <c r="A25" s="3099"/>
      <c r="B25" s="3169" t="s">
        <v>1685</v>
      </c>
      <c r="C25" s="2821" t="str">
        <f>估价对象房地状况!G19</f>
        <v>估价对象所在区域公共配套设施齐备情况</v>
      </c>
      <c r="D25" s="2894">
        <v>100</v>
      </c>
      <c r="E25" s="2845"/>
      <c r="F25" s="3724">
        <f>SUMIF(93:93,E26,94:94)-SUMIF(93:93,C26,94:94)+100</f>
        <v>100</v>
      </c>
      <c r="G25" s="2845"/>
      <c r="H25" s="3724">
        <f>SUMIF(93:93,G26,94:94)-SUMIF(93:93,C26,94:94)+100</f>
        <v>100</v>
      </c>
      <c r="I25" s="2851"/>
      <c r="J25" s="3724">
        <f>SUMIF(93:93,I26,94:94)-SUMIF(93:93,C26,94:94)+100</f>
        <v>100</v>
      </c>
      <c r="K25" s="435"/>
      <c r="L25" s="1976"/>
      <c r="M25" s="1929"/>
      <c r="N25" s="1929"/>
      <c r="O25" s="2028"/>
      <c r="P25" s="4653"/>
      <c r="Q25" s="1698" t="str">
        <f t="shared" si="8"/>
        <v>公共配套设施</v>
      </c>
      <c r="R25" s="3760" t="s">
        <v>13</v>
      </c>
      <c r="S25" s="3542">
        <f>F25</f>
        <v>100</v>
      </c>
      <c r="T25" s="3760" t="s">
        <v>13</v>
      </c>
      <c r="U25" s="3542">
        <f>H25</f>
        <v>100</v>
      </c>
      <c r="V25" s="3760" t="s">
        <v>13</v>
      </c>
      <c r="W25" s="3542">
        <f>J25</f>
        <v>100</v>
      </c>
      <c r="X25" s="482"/>
      <c r="Y25" s="4550"/>
      <c r="Z25" s="28" t="str">
        <f>Q25</f>
        <v>公共配套设施</v>
      </c>
      <c r="AA25" s="907">
        <f>D25/F25</f>
        <v>1</v>
      </c>
      <c r="AB25" s="907">
        <f>D25/H25</f>
        <v>1</v>
      </c>
      <c r="AC25" s="907">
        <f>D25/J25</f>
        <v>1</v>
      </c>
    </row>
    <row r="26" spans="1:29" s="46" customFormat="1" ht="15.5">
      <c r="A26" s="3099"/>
      <c r="B26" s="3168"/>
      <c r="C26" s="3100"/>
      <c r="D26" s="2893"/>
      <c r="E26" s="2871"/>
      <c r="F26" s="3723"/>
      <c r="G26" s="2871"/>
      <c r="H26" s="3723"/>
      <c r="I26" s="2820"/>
      <c r="J26" s="3723"/>
      <c r="K26" s="434"/>
      <c r="L26" s="1976"/>
      <c r="M26" s="1929"/>
      <c r="N26" s="1929"/>
      <c r="O26" s="2028"/>
      <c r="P26" s="4653"/>
      <c r="Q26" s="1698"/>
      <c r="R26" s="3760"/>
      <c r="S26" s="3542"/>
      <c r="T26" s="3760"/>
      <c r="U26" s="3542"/>
      <c r="V26" s="3760"/>
      <c r="W26" s="3542"/>
      <c r="X26" s="482"/>
      <c r="Y26" s="4550"/>
      <c r="Z26" s="28"/>
      <c r="AA26" s="28">
        <v>1</v>
      </c>
      <c r="AB26" s="28">
        <v>1</v>
      </c>
      <c r="AC26" s="28">
        <v>1</v>
      </c>
    </row>
    <row r="27" spans="1:29" s="46" customFormat="1" ht="42">
      <c r="A27" s="3099"/>
      <c r="B27" s="3169" t="s">
        <v>1686</v>
      </c>
      <c r="C27" s="2821" t="str">
        <f>估价对象房地状况!G20</f>
        <v>估价对象所在区域基础设施水平</v>
      </c>
      <c r="D27" s="2894">
        <v>100</v>
      </c>
      <c r="E27" s="2845"/>
      <c r="F27" s="3724">
        <f>SUMIF(95:95,E28,96:96)-SUMIF(95:95,C28,96:96)+100</f>
        <v>100</v>
      </c>
      <c r="G27" s="2845"/>
      <c r="H27" s="3724">
        <f>SUMIF(95:95,G28,96:96)-SUMIF(95:95,C28,96:96)+100</f>
        <v>100</v>
      </c>
      <c r="I27" s="2851"/>
      <c r="J27" s="3724">
        <f>SUMIF(95:95,I28,96:96)-SUMIF(95:95,C28,96:96)+100</f>
        <v>100</v>
      </c>
      <c r="K27" s="435"/>
      <c r="L27" s="1976"/>
      <c r="M27" s="1929"/>
      <c r="N27" s="1929"/>
      <c r="O27" s="2028"/>
      <c r="P27" s="4653"/>
      <c r="Q27" s="1698" t="str">
        <f t="shared" ref="Q27" si="9">B27</f>
        <v>基础设施水平</v>
      </c>
      <c r="R27" s="3760" t="s">
        <v>13</v>
      </c>
      <c r="S27" s="3542">
        <f>F27</f>
        <v>100</v>
      </c>
      <c r="T27" s="3760" t="s">
        <v>13</v>
      </c>
      <c r="U27" s="3542">
        <f>H27</f>
        <v>100</v>
      </c>
      <c r="V27" s="3760" t="s">
        <v>13</v>
      </c>
      <c r="W27" s="3542">
        <f>J27</f>
        <v>100</v>
      </c>
      <c r="X27" s="482"/>
      <c r="Y27" s="4550"/>
      <c r="Z27" s="28" t="str">
        <f>Q27</f>
        <v>基础设施水平</v>
      </c>
      <c r="AA27" s="907">
        <f>D27/F27</f>
        <v>1</v>
      </c>
      <c r="AB27" s="907">
        <f>D27/H27</f>
        <v>1</v>
      </c>
      <c r="AC27" s="907">
        <f>D27/J27</f>
        <v>1</v>
      </c>
    </row>
    <row r="28" spans="1:29" s="46" customFormat="1" ht="15.5">
      <c r="A28" s="3099"/>
      <c r="B28" s="3168"/>
      <c r="C28" s="3100"/>
      <c r="D28" s="2893"/>
      <c r="E28" s="3116"/>
      <c r="F28" s="3723"/>
      <c r="G28" s="3116"/>
      <c r="H28" s="3723"/>
      <c r="I28" s="3116"/>
      <c r="J28" s="3723"/>
      <c r="K28" s="434"/>
      <c r="L28" s="1976"/>
      <c r="M28" s="1929"/>
      <c r="N28" s="1929"/>
      <c r="O28" s="2028"/>
      <c r="P28" s="4653"/>
      <c r="Q28" s="1698"/>
      <c r="R28" s="3760"/>
      <c r="S28" s="3542"/>
      <c r="T28" s="3760"/>
      <c r="U28" s="3542"/>
      <c r="V28" s="3760"/>
      <c r="W28" s="3542"/>
      <c r="X28" s="482"/>
      <c r="Y28" s="4550"/>
      <c r="Z28" s="28"/>
      <c r="AA28" s="28">
        <v>1</v>
      </c>
      <c r="AB28" s="28">
        <v>1</v>
      </c>
      <c r="AC28" s="28">
        <v>1</v>
      </c>
    </row>
    <row r="29" spans="1:29" ht="15.5">
      <c r="A29" s="3093"/>
      <c r="B29" s="3168" t="s">
        <v>1687</v>
      </c>
      <c r="C29" s="2836"/>
      <c r="D29" s="2890">
        <v>100</v>
      </c>
      <c r="E29" s="3117"/>
      <c r="F29" s="3726">
        <f>SUMIF(97:97,E29,98:98)-SUMIF(97:97,C29,98:98)+100</f>
        <v>100</v>
      </c>
      <c r="G29" s="3117"/>
      <c r="H29" s="3726">
        <f>SUMIF(97:97,G29,98:98)-SUMIF(97:97,C29,98:98)+100</f>
        <v>100</v>
      </c>
      <c r="I29" s="3117"/>
      <c r="J29" s="3726">
        <f>SUMIF(97:97,I29,98:98)-SUMIF(97:97,C29,98:98)+100</f>
        <v>100</v>
      </c>
      <c r="K29" s="435"/>
      <c r="L29" s="1980"/>
      <c r="M29" s="1975"/>
      <c r="N29" s="1975"/>
      <c r="O29" s="2030"/>
      <c r="P29" s="4653"/>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550"/>
      <c r="Z29" s="907" t="str">
        <f t="shared" ref="Z29:Z42" si="13">Q29</f>
        <v>临街状况</v>
      </c>
      <c r="AA29" s="907">
        <f t="shared" si="3"/>
        <v>1</v>
      </c>
      <c r="AB29" s="907">
        <f t="shared" si="4"/>
        <v>1</v>
      </c>
      <c r="AC29" s="907">
        <f t="shared" si="5"/>
        <v>1</v>
      </c>
    </row>
    <row r="30" spans="1:29" ht="28">
      <c r="A30" s="3093"/>
      <c r="B30" s="3169" t="s">
        <v>1722</v>
      </c>
      <c r="C30" s="3175">
        <f>估价对象房地状况!G22</f>
        <v>0</v>
      </c>
      <c r="D30" s="2894">
        <v>100</v>
      </c>
      <c r="E30" s="2845"/>
      <c r="F30" s="3724">
        <f>SUMIF(99:99,E31,100:100)-SUMIF(99:99,C31,100:100)+100</f>
        <v>100</v>
      </c>
      <c r="G30" s="2845"/>
      <c r="H30" s="3724">
        <f>SUMIF(99:99,G31,100:100)-SUMIF(99:99,C31,100:100)+100</f>
        <v>100</v>
      </c>
      <c r="I30" s="2851"/>
      <c r="J30" s="3724">
        <f>SUMIF(99:99,I31,100:100)-SUMIF(99:99,C31,100:100)+100</f>
        <v>100</v>
      </c>
      <c r="K30" s="435"/>
      <c r="L30" s="1980"/>
      <c r="M30" s="1975"/>
      <c r="N30" s="1975"/>
      <c r="O30" s="2030"/>
      <c r="P30" s="4653"/>
      <c r="Q30" s="1507" t="str">
        <f t="shared" si="8"/>
        <v>毗邻道路的类型与等级</v>
      </c>
      <c r="R30" s="3761" t="s">
        <v>13</v>
      </c>
      <c r="S30" s="3763">
        <f t="shared" si="10"/>
        <v>100</v>
      </c>
      <c r="T30" s="3761" t="s">
        <v>13</v>
      </c>
      <c r="U30" s="3763">
        <f t="shared" si="11"/>
        <v>100</v>
      </c>
      <c r="V30" s="3761" t="s">
        <v>13</v>
      </c>
      <c r="W30" s="3763">
        <f t="shared" si="12"/>
        <v>100</v>
      </c>
      <c r="X30" s="909"/>
      <c r="Y30" s="4550"/>
      <c r="Z30" s="907" t="str">
        <f t="shared" si="13"/>
        <v>毗邻道路的类型与等级</v>
      </c>
      <c r="AA30" s="907">
        <f t="shared" si="3"/>
        <v>1</v>
      </c>
      <c r="AB30" s="907">
        <f t="shared" si="4"/>
        <v>1</v>
      </c>
      <c r="AC30" s="907">
        <f t="shared" si="5"/>
        <v>1</v>
      </c>
    </row>
    <row r="31" spans="1:29" ht="15.5">
      <c r="A31" s="3093"/>
      <c r="B31" s="3168"/>
      <c r="C31" s="2820"/>
      <c r="D31" s="2893"/>
      <c r="E31" s="2871"/>
      <c r="F31" s="3723"/>
      <c r="G31" s="2871"/>
      <c r="H31" s="3723"/>
      <c r="I31" s="2871"/>
      <c r="J31" s="3723"/>
      <c r="K31" s="395"/>
      <c r="L31" s="1980"/>
      <c r="M31" s="1975"/>
      <c r="N31" s="1975"/>
      <c r="O31" s="2030"/>
      <c r="P31" s="4653"/>
      <c r="Q31" s="1507"/>
      <c r="R31" s="3761"/>
      <c r="S31" s="3763"/>
      <c r="T31" s="3761"/>
      <c r="U31" s="3763"/>
      <c r="V31" s="3761"/>
      <c r="W31" s="3763"/>
      <c r="X31" s="909"/>
      <c r="Y31" s="4550"/>
      <c r="Z31" s="907"/>
      <c r="AA31" s="907">
        <v>1</v>
      </c>
      <c r="AB31" s="907">
        <v>1</v>
      </c>
      <c r="AC31" s="907">
        <v>1</v>
      </c>
    </row>
    <row r="32" spans="1:29" ht="15.5">
      <c r="A32" s="3093"/>
      <c r="B32" s="3170" t="s">
        <v>1780</v>
      </c>
      <c r="C32" s="3098">
        <f>估价对象房地状况!G23</f>
        <v>0</v>
      </c>
      <c r="D32" s="2890">
        <v>100</v>
      </c>
      <c r="E32" s="3117"/>
      <c r="F32" s="3726">
        <f>SUMIF(101:101,E32,102:102)-SUMIF(101:101,C32,102:102)+100</f>
        <v>100</v>
      </c>
      <c r="G32" s="3117"/>
      <c r="H32" s="3726">
        <f>SUMIF(101:101,G32,102:102)-SUMIF(101:101,C32,102:102)+100</f>
        <v>100</v>
      </c>
      <c r="I32" s="3117"/>
      <c r="J32" s="3726">
        <f>SUMIF(101:101,I32,102:102)-SUMIF(101:101,C32,102:102)+100</f>
        <v>100</v>
      </c>
      <c r="K32" s="394"/>
      <c r="L32" s="1980"/>
      <c r="M32" s="1975"/>
      <c r="N32" s="1975"/>
      <c r="O32" s="2030"/>
      <c r="P32" s="4653"/>
      <c r="Q32" s="1507" t="str">
        <f t="shared" si="8"/>
        <v>土地级别</v>
      </c>
      <c r="R32" s="3761" t="s">
        <v>13</v>
      </c>
      <c r="S32" s="3763">
        <f t="shared" si="10"/>
        <v>100</v>
      </c>
      <c r="T32" s="3761" t="s">
        <v>13</v>
      </c>
      <c r="U32" s="3763">
        <f t="shared" si="11"/>
        <v>100</v>
      </c>
      <c r="V32" s="3761" t="s">
        <v>13</v>
      </c>
      <c r="W32" s="3763">
        <f t="shared" si="12"/>
        <v>100</v>
      </c>
      <c r="X32" s="909"/>
      <c r="Y32" s="4550"/>
      <c r="Z32" s="907" t="str">
        <f t="shared" si="13"/>
        <v>土地级别</v>
      </c>
      <c r="AA32" s="907">
        <f t="shared" si="3"/>
        <v>1</v>
      </c>
      <c r="AB32" s="907">
        <f t="shared" si="4"/>
        <v>1</v>
      </c>
      <c r="AC32" s="907">
        <f t="shared" si="5"/>
        <v>1</v>
      </c>
    </row>
    <row r="33" spans="1:31" ht="15.5">
      <c r="A33" s="3097"/>
      <c r="B33" s="3171">
        <v>111</v>
      </c>
      <c r="C33" s="3101"/>
      <c r="D33" s="2890">
        <v>100</v>
      </c>
      <c r="E33" s="3118"/>
      <c r="F33" s="3726">
        <f>SUMIF(103:103,E33,104:104)-SUMIF(103:103,C33,104:104)+100</f>
        <v>100</v>
      </c>
      <c r="G33" s="3118"/>
      <c r="H33" s="3726">
        <f>SUMIF(103:103,G33,104:104)-SUMIF(103:103,C33,104:104)+100</f>
        <v>100</v>
      </c>
      <c r="I33" s="3115"/>
      <c r="J33" s="3726">
        <f>SUMIF(103:103,I33,104:104)-SUMIF(103:103,C33,104:104)+100</f>
        <v>100</v>
      </c>
      <c r="K33" s="395"/>
      <c r="L33" s="1980"/>
      <c r="M33" s="1975"/>
      <c r="N33" s="1975"/>
      <c r="O33" s="2030"/>
      <c r="P33" s="4653"/>
      <c r="Q33" s="1507">
        <f t="shared" si="8"/>
        <v>111</v>
      </c>
      <c r="R33" s="3761" t="s">
        <v>13</v>
      </c>
      <c r="S33" s="3763">
        <f t="shared" si="10"/>
        <v>100</v>
      </c>
      <c r="T33" s="3761" t="s">
        <v>13</v>
      </c>
      <c r="U33" s="3763">
        <f t="shared" si="11"/>
        <v>100</v>
      </c>
      <c r="V33" s="3761" t="s">
        <v>13</v>
      </c>
      <c r="W33" s="3763">
        <f t="shared" si="12"/>
        <v>100</v>
      </c>
      <c r="X33" s="909"/>
      <c r="Y33" s="4550"/>
      <c r="Z33" s="907">
        <f t="shared" si="13"/>
        <v>111</v>
      </c>
      <c r="AA33" s="907">
        <f t="shared" si="3"/>
        <v>1</v>
      </c>
      <c r="AB33" s="907">
        <f t="shared" si="4"/>
        <v>1</v>
      </c>
      <c r="AC33" s="907">
        <f t="shared" si="5"/>
        <v>1</v>
      </c>
    </row>
    <row r="34" spans="1:31" ht="15.5">
      <c r="A34" s="3102"/>
      <c r="B34" s="3172">
        <v>111</v>
      </c>
      <c r="C34" s="3101"/>
      <c r="D34" s="2890">
        <v>100</v>
      </c>
      <c r="E34" s="3118"/>
      <c r="F34" s="3726">
        <f>SUMIF(105:105,E35,106:106)-SUMIF(105:105,C35,106:106)+100</f>
        <v>100</v>
      </c>
      <c r="G34" s="3118"/>
      <c r="H34" s="3726">
        <f>SUMIF(105:105,G34,106:106)-SUMIF(105:105,C34,106:106)+100</f>
        <v>100</v>
      </c>
      <c r="I34" s="3101"/>
      <c r="J34" s="3726">
        <f>SUMIF(105:105,I34,106:106)-SUMIF(105:105,C34,106:106)+100</f>
        <v>100</v>
      </c>
      <c r="K34" s="395"/>
      <c r="L34" s="1980"/>
      <c r="M34" s="1975"/>
      <c r="N34" s="1975"/>
      <c r="O34" s="2030"/>
      <c r="P34" s="4654" t="s">
        <v>1603</v>
      </c>
      <c r="Q34" s="1507">
        <f t="shared" si="8"/>
        <v>111</v>
      </c>
      <c r="R34" s="3761" t="s">
        <v>13</v>
      </c>
      <c r="S34" s="3763">
        <f t="shared" si="10"/>
        <v>100</v>
      </c>
      <c r="T34" s="3761" t="s">
        <v>13</v>
      </c>
      <c r="U34" s="3763">
        <f t="shared" si="11"/>
        <v>100</v>
      </c>
      <c r="V34" s="3761" t="s">
        <v>13</v>
      </c>
      <c r="W34" s="3763">
        <f t="shared" si="12"/>
        <v>100</v>
      </c>
      <c r="X34" s="909"/>
      <c r="Y34" s="4554" t="s">
        <v>1603</v>
      </c>
      <c r="Z34" s="907">
        <f t="shared" si="13"/>
        <v>111</v>
      </c>
      <c r="AA34" s="907">
        <f t="shared" si="3"/>
        <v>1</v>
      </c>
      <c r="AB34" s="907">
        <f t="shared" si="4"/>
        <v>1</v>
      </c>
      <c r="AC34" s="907">
        <f t="shared" si="5"/>
        <v>1</v>
      </c>
    </row>
    <row r="35" spans="1:31" s="279" customFormat="1" ht="16" thickBot="1">
      <c r="A35" s="3104"/>
      <c r="B35" s="3173">
        <v>111</v>
      </c>
      <c r="C35" s="3106"/>
      <c r="D35" s="3113">
        <v>100</v>
      </c>
      <c r="E35" s="3119"/>
      <c r="F35" s="3728">
        <f>SUMIF(107:107,E35,108:108)-SUMIF(107:107,C35,108:108)+100</f>
        <v>100</v>
      </c>
      <c r="G35" s="3119"/>
      <c r="H35" s="3728">
        <f>SUMIF(107:107,G35,108:108)-SUMIF(107:107,C35,108:108)+100</f>
        <v>100</v>
      </c>
      <c r="I35" s="3106"/>
      <c r="J35" s="3728">
        <f>SUMIF(107:107,I35,108:108)-SUMIF(107:107,C35,108:108)+100</f>
        <v>100</v>
      </c>
      <c r="K35" s="395"/>
      <c r="L35" s="1979"/>
      <c r="M35" s="1981"/>
      <c r="N35" s="1981"/>
      <c r="O35" s="2031"/>
      <c r="P35" s="4655"/>
      <c r="Q35" s="1507">
        <f t="shared" si="8"/>
        <v>111</v>
      </c>
      <c r="R35" s="3762" t="s">
        <v>13</v>
      </c>
      <c r="S35" s="3764">
        <f t="shared" si="10"/>
        <v>100</v>
      </c>
      <c r="T35" s="3762" t="s">
        <v>13</v>
      </c>
      <c r="U35" s="3764">
        <f t="shared" si="11"/>
        <v>100</v>
      </c>
      <c r="V35" s="3762" t="s">
        <v>13</v>
      </c>
      <c r="W35" s="3764">
        <f t="shared" si="12"/>
        <v>100</v>
      </c>
      <c r="X35" s="484"/>
      <c r="Y35" s="4554"/>
      <c r="Z35" s="485">
        <f t="shared" si="13"/>
        <v>111</v>
      </c>
      <c r="AA35" s="907">
        <f t="shared" si="3"/>
        <v>1</v>
      </c>
      <c r="AB35" s="907">
        <f t="shared" si="4"/>
        <v>1</v>
      </c>
      <c r="AC35" s="907">
        <f t="shared" si="5"/>
        <v>1</v>
      </c>
    </row>
    <row r="36" spans="1:31" ht="15.5">
      <c r="A36" s="3096" t="s">
        <v>1601</v>
      </c>
      <c r="B36" s="2798" t="s">
        <v>1781</v>
      </c>
      <c r="C36" s="3108"/>
      <c r="D36" s="2897">
        <v>100</v>
      </c>
      <c r="E36" s="3108"/>
      <c r="F36" s="3733" t="e">
        <f>LOOKUP(E36,110:110,111:111)-LOOKUP(C36,110:110,111:111)+100</f>
        <v>#N/A</v>
      </c>
      <c r="G36" s="3108"/>
      <c r="H36" s="3733" t="e">
        <f>LOOKUP(G36,110:110,111:111)-LOOKUP(C36,110:110,111:111)+100</f>
        <v>#N/A</v>
      </c>
      <c r="I36" s="3121"/>
      <c r="J36" s="3733" t="e">
        <f>LOOKUP(I36,110:110,111:111)-LOOKUP(C36,110:110,111:111)+100</f>
        <v>#N/A</v>
      </c>
      <c r="K36" s="395"/>
      <c r="L36" s="1980"/>
      <c r="M36" s="1975"/>
      <c r="N36" s="1975"/>
      <c r="O36" s="2030"/>
      <c r="P36" s="4655"/>
      <c r="Q36" s="1507" t="str">
        <f>B36</f>
        <v>宗地面积</v>
      </c>
      <c r="R36" s="3761" t="s">
        <v>13</v>
      </c>
      <c r="S36" s="3763" t="e">
        <f t="shared" si="10"/>
        <v>#N/A</v>
      </c>
      <c r="T36" s="3761" t="s">
        <v>13</v>
      </c>
      <c r="U36" s="3763" t="e">
        <f t="shared" si="11"/>
        <v>#N/A</v>
      </c>
      <c r="V36" s="3761" t="s">
        <v>13</v>
      </c>
      <c r="W36" s="3763" t="e">
        <f t="shared" si="12"/>
        <v>#N/A</v>
      </c>
      <c r="X36" s="909"/>
      <c r="Y36" s="4554"/>
      <c r="Z36" s="907" t="str">
        <f t="shared" si="13"/>
        <v>宗地面积</v>
      </c>
      <c r="AA36" s="907" t="e">
        <f t="shared" si="3"/>
        <v>#N/A</v>
      </c>
      <c r="AB36" s="907" t="e">
        <f t="shared" si="4"/>
        <v>#N/A</v>
      </c>
      <c r="AC36" s="907" t="e">
        <f t="shared" si="5"/>
        <v>#N/A</v>
      </c>
    </row>
    <row r="37" spans="1:31" ht="15.5">
      <c r="A37" s="3107"/>
      <c r="B37" s="2789" t="s">
        <v>1782</v>
      </c>
      <c r="C37" s="2826"/>
      <c r="D37" s="2890">
        <v>100</v>
      </c>
      <c r="E37" s="2826"/>
      <c r="F37" s="3726">
        <f>SUMIF(112:112,E37,113:113)-SUMIF(112:112,C37,113:113)+100</f>
        <v>100</v>
      </c>
      <c r="G37" s="2826"/>
      <c r="H37" s="3726">
        <f>SUMIF(112:112,G37,113:113)-SUMIF(112:112,C37,113:113)+100</f>
        <v>100</v>
      </c>
      <c r="I37" s="2826"/>
      <c r="J37" s="3726">
        <f>SUMIF(112:112,I37,113:113)-SUMIF(112:112,C37,113:113)+100</f>
        <v>100</v>
      </c>
      <c r="K37" s="394"/>
      <c r="L37" s="1980"/>
      <c r="M37" s="1975"/>
      <c r="N37" s="1975"/>
      <c r="O37" s="2030"/>
      <c r="P37" s="4655"/>
      <c r="Q37" s="1507" t="str">
        <f t="shared" ref="Q37:Q42" si="14">B37</f>
        <v>宗地形状</v>
      </c>
      <c r="R37" s="3761" t="s">
        <v>13</v>
      </c>
      <c r="S37" s="3763">
        <f t="shared" si="10"/>
        <v>100</v>
      </c>
      <c r="T37" s="3761" t="s">
        <v>13</v>
      </c>
      <c r="U37" s="3763">
        <f t="shared" si="11"/>
        <v>100</v>
      </c>
      <c r="V37" s="3761" t="s">
        <v>13</v>
      </c>
      <c r="W37" s="3763">
        <f t="shared" si="12"/>
        <v>100</v>
      </c>
      <c r="X37" s="909"/>
      <c r="Y37" s="4554"/>
      <c r="Z37" s="907" t="str">
        <f t="shared" si="13"/>
        <v>宗地形状</v>
      </c>
      <c r="AA37" s="907">
        <f t="shared" si="3"/>
        <v>1</v>
      </c>
      <c r="AB37" s="907">
        <f t="shared" si="4"/>
        <v>1</v>
      </c>
      <c r="AC37" s="907">
        <f t="shared" si="5"/>
        <v>1</v>
      </c>
    </row>
    <row r="38" spans="1:31" s="46" customFormat="1" ht="15.5">
      <c r="A38" s="3109"/>
      <c r="B38" s="2789" t="s">
        <v>1784</v>
      </c>
      <c r="C38" s="3110"/>
      <c r="D38" s="2888">
        <v>100</v>
      </c>
      <c r="E38" s="3110"/>
      <c r="F38" s="3726">
        <f>SUMIF(114:114,E38,115:115)-SUMIF(114:114,C38,115:115)+100</f>
        <v>100</v>
      </c>
      <c r="G38" s="3110"/>
      <c r="H38" s="3726">
        <f>SUMIF(114:114,G38,115:115)-SUMIF(114:114,C38,115:115)+100</f>
        <v>100</v>
      </c>
      <c r="I38" s="3110"/>
      <c r="J38" s="3726">
        <f>SUMIF(114:114,I38,115:115)-SUMIF(114:114,C38,115:115)+100</f>
        <v>100</v>
      </c>
      <c r="K38" s="394"/>
      <c r="L38" s="1976"/>
      <c r="M38" s="1929"/>
      <c r="N38" s="1929"/>
      <c r="O38" s="2028"/>
      <c r="P38" s="4655"/>
      <c r="Q38" s="1507" t="str">
        <f t="shared" si="14"/>
        <v>宗地开发程度</v>
      </c>
      <c r="R38" s="3760" t="s">
        <v>13</v>
      </c>
      <c r="S38" s="3542">
        <f t="shared" si="10"/>
        <v>100</v>
      </c>
      <c r="T38" s="3760" t="s">
        <v>13</v>
      </c>
      <c r="U38" s="3542">
        <f t="shared" si="11"/>
        <v>100</v>
      </c>
      <c r="V38" s="3760" t="s">
        <v>13</v>
      </c>
      <c r="W38" s="3542">
        <f t="shared" si="12"/>
        <v>100</v>
      </c>
      <c r="X38" s="482"/>
      <c r="Y38" s="4554"/>
      <c r="Z38" s="28" t="str">
        <f t="shared" si="13"/>
        <v>宗地开发程度</v>
      </c>
      <c r="AA38" s="28">
        <f t="shared" si="3"/>
        <v>1</v>
      </c>
      <c r="AB38" s="28">
        <f t="shared" si="4"/>
        <v>1</v>
      </c>
      <c r="AC38" s="28">
        <f t="shared" si="5"/>
        <v>1</v>
      </c>
    </row>
    <row r="39" spans="1:31" ht="15.5">
      <c r="A39" s="3107"/>
      <c r="B39" s="2789" t="s">
        <v>1785</v>
      </c>
      <c r="C39" s="2826"/>
      <c r="D39" s="2890">
        <v>100</v>
      </c>
      <c r="E39" s="2826"/>
      <c r="F39" s="3726">
        <f>SUMIF(116:116,E39,117:117)-SUMIF(116:116,C39,117:117)+100</f>
        <v>100</v>
      </c>
      <c r="G39" s="2826"/>
      <c r="H39" s="3726">
        <f>SUMIF(116:116,G39,117:117)-SUMIF(116:116,C39,117:117)+100</f>
        <v>100</v>
      </c>
      <c r="I39" s="2826"/>
      <c r="J39" s="3726">
        <f>SUMIF(116:116,I39,117:117)-SUMIF(116:116,C39,117:117)+100</f>
        <v>100</v>
      </c>
      <c r="K39" s="394"/>
      <c r="L39" s="1980"/>
      <c r="M39" s="1975"/>
      <c r="N39" s="1975"/>
      <c r="O39" s="2030"/>
      <c r="P39" s="4655" t="s">
        <v>1603</v>
      </c>
      <c r="Q39" s="1507" t="str">
        <f t="shared" si="14"/>
        <v>工程地质条件</v>
      </c>
      <c r="R39" s="3761" t="s">
        <v>13</v>
      </c>
      <c r="S39" s="3763">
        <f t="shared" si="10"/>
        <v>100</v>
      </c>
      <c r="T39" s="3761" t="s">
        <v>13</v>
      </c>
      <c r="U39" s="3763">
        <f t="shared" si="11"/>
        <v>100</v>
      </c>
      <c r="V39" s="3761" t="s">
        <v>13</v>
      </c>
      <c r="W39" s="3763">
        <f t="shared" si="12"/>
        <v>100</v>
      </c>
      <c r="X39" s="909"/>
      <c r="Y39" s="4554" t="s">
        <v>1603</v>
      </c>
      <c r="Z39" s="907" t="str">
        <f t="shared" si="13"/>
        <v>工程地质条件</v>
      </c>
      <c r="AA39" s="907">
        <f t="shared" si="3"/>
        <v>1</v>
      </c>
      <c r="AB39" s="907">
        <f t="shared" si="4"/>
        <v>1</v>
      </c>
      <c r="AC39" s="907">
        <f t="shared" si="5"/>
        <v>1</v>
      </c>
    </row>
    <row r="40" spans="1:31" ht="15.5">
      <c r="A40" s="3107"/>
      <c r="B40" s="3103">
        <v>111</v>
      </c>
      <c r="C40" s="3101"/>
      <c r="D40" s="2890">
        <v>100</v>
      </c>
      <c r="E40" s="3101"/>
      <c r="F40" s="3726">
        <f>SUMIF(118:118,E40,119:119)-SUMIF(118:118,C40,119:119)+100</f>
        <v>100</v>
      </c>
      <c r="G40" s="3101"/>
      <c r="H40" s="3726">
        <f>SUMIF(118:118,G40,119:119)-SUMIF(118:118,C40,119:119)+100</f>
        <v>100</v>
      </c>
      <c r="I40" s="3115"/>
      <c r="J40" s="3726">
        <f>SUMIF(118:118,I40,119:119)-SUMIF(118:118,C40,119:119)+100</f>
        <v>100</v>
      </c>
      <c r="K40" s="395"/>
      <c r="L40" s="1980"/>
      <c r="M40" s="1975"/>
      <c r="N40" s="1975"/>
      <c r="O40" s="2030"/>
      <c r="P40" s="4655"/>
      <c r="Q40" s="1507">
        <f t="shared" si="14"/>
        <v>111</v>
      </c>
      <c r="R40" s="3761" t="s">
        <v>13</v>
      </c>
      <c r="S40" s="3763">
        <f t="shared" si="10"/>
        <v>100</v>
      </c>
      <c r="T40" s="3761" t="s">
        <v>13</v>
      </c>
      <c r="U40" s="3763">
        <f t="shared" si="11"/>
        <v>100</v>
      </c>
      <c r="V40" s="3761" t="s">
        <v>13</v>
      </c>
      <c r="W40" s="3763">
        <f t="shared" si="12"/>
        <v>100</v>
      </c>
      <c r="X40" s="909"/>
      <c r="Y40" s="4554"/>
      <c r="Z40" s="907">
        <f t="shared" si="13"/>
        <v>111</v>
      </c>
      <c r="AA40" s="907">
        <f t="shared" si="3"/>
        <v>1</v>
      </c>
      <c r="AB40" s="907">
        <f t="shared" si="4"/>
        <v>1</v>
      </c>
      <c r="AC40" s="907">
        <f t="shared" si="5"/>
        <v>1</v>
      </c>
    </row>
    <row r="41" spans="1:31" ht="15.5">
      <c r="A41" s="3107"/>
      <c r="B41" s="3103">
        <v>111</v>
      </c>
      <c r="C41" s="3101"/>
      <c r="D41" s="2890">
        <v>100</v>
      </c>
      <c r="E41" s="3101"/>
      <c r="F41" s="3726">
        <f>SUMIF(120:120,E41,121:121)-SUMIF(120:120,C41,121:121)+100</f>
        <v>100</v>
      </c>
      <c r="G41" s="3101"/>
      <c r="H41" s="3726">
        <f>SUMIF(120:120,G41,121:121)-SUMIF(120:120,C41,121:121)+100</f>
        <v>100</v>
      </c>
      <c r="I41" s="3115"/>
      <c r="J41" s="3726">
        <f>SUMIF(120:120,I41,121:121)-SUMIF(120:120,C41,121:121)+100</f>
        <v>100</v>
      </c>
      <c r="K41" s="395"/>
      <c r="L41" s="1980"/>
      <c r="M41" s="1975"/>
      <c r="N41" s="1975"/>
      <c r="O41" s="2030"/>
      <c r="P41" s="4655"/>
      <c r="Q41" s="1507">
        <f t="shared" si="14"/>
        <v>111</v>
      </c>
      <c r="R41" s="3761" t="s">
        <v>13</v>
      </c>
      <c r="S41" s="3763">
        <f t="shared" si="10"/>
        <v>100</v>
      </c>
      <c r="T41" s="3761" t="s">
        <v>13</v>
      </c>
      <c r="U41" s="3763">
        <f t="shared" si="11"/>
        <v>100</v>
      </c>
      <c r="V41" s="3761" t="s">
        <v>13</v>
      </c>
      <c r="W41" s="3763">
        <f t="shared" si="12"/>
        <v>100</v>
      </c>
      <c r="X41" s="909"/>
      <c r="Y41" s="4554"/>
      <c r="Z41" s="907">
        <f t="shared" si="13"/>
        <v>111</v>
      </c>
      <c r="AA41" s="907">
        <f t="shared" si="3"/>
        <v>1</v>
      </c>
      <c r="AB41" s="907">
        <f t="shared" si="4"/>
        <v>1</v>
      </c>
      <c r="AC41" s="907">
        <f t="shared" si="5"/>
        <v>1</v>
      </c>
    </row>
    <row r="42" spans="1:31" s="279" customFormat="1" ht="16" thickBot="1">
      <c r="A42" s="3111"/>
      <c r="B42" s="3103">
        <v>111</v>
      </c>
      <c r="C42" s="3112"/>
      <c r="D42" s="3113">
        <v>100</v>
      </c>
      <c r="E42" s="3101"/>
      <c r="F42" s="3728">
        <f>SUMIF(122:122,E42,123:123)-SUMIF(122:122,C42,123:123)+100</f>
        <v>100</v>
      </c>
      <c r="G42" s="3101"/>
      <c r="H42" s="3728">
        <f>SUMIF(122:122,G42,123:123)-SUMIF(122:122,C42,123:123)+100</f>
        <v>100</v>
      </c>
      <c r="I42" s="3115"/>
      <c r="J42" s="3728">
        <f>SUMIF(122:122,I42,123:123)-SUMIF(122:122,C42,123:123)+100</f>
        <v>100</v>
      </c>
      <c r="K42" s="438"/>
      <c r="L42" s="1979"/>
      <c r="M42" s="1981"/>
      <c r="N42" s="1981"/>
      <c r="O42" s="2031"/>
      <c r="P42" s="4655"/>
      <c r="Q42" s="1507">
        <f t="shared" si="14"/>
        <v>111</v>
      </c>
      <c r="R42" s="3762" t="s">
        <v>13</v>
      </c>
      <c r="S42" s="3764">
        <f t="shared" si="10"/>
        <v>100</v>
      </c>
      <c r="T42" s="3762" t="s">
        <v>13</v>
      </c>
      <c r="U42" s="3764">
        <f t="shared" si="11"/>
        <v>100</v>
      </c>
      <c r="V42" s="3762" t="s">
        <v>13</v>
      </c>
      <c r="W42" s="3764">
        <f t="shared" si="12"/>
        <v>100</v>
      </c>
      <c r="X42" s="484"/>
      <c r="Y42" s="4554"/>
      <c r="Z42" s="485">
        <f t="shared" si="13"/>
        <v>111</v>
      </c>
      <c r="AA42" s="907">
        <f t="shared" si="3"/>
        <v>1</v>
      </c>
      <c r="AB42" s="907">
        <f t="shared" si="4"/>
        <v>1</v>
      </c>
      <c r="AC42" s="907">
        <f t="shared" si="5"/>
        <v>1</v>
      </c>
    </row>
    <row r="43" spans="1:31">
      <c r="A43" s="286" t="s">
        <v>1751</v>
      </c>
      <c r="B43" s="1430" t="s">
        <v>1829</v>
      </c>
      <c r="C43" s="439" t="s">
        <v>0</v>
      </c>
      <c r="D43" s="3176"/>
      <c r="E43" s="3205"/>
      <c r="F43" s="3153"/>
      <c r="G43" s="3206"/>
      <c r="H43" s="3154"/>
      <c r="I43" s="3205"/>
      <c r="J43" s="3154"/>
      <c r="K43" s="2862"/>
      <c r="L43" s="1982"/>
      <c r="M43" s="1975"/>
      <c r="N43" s="1975"/>
      <c r="O43" s="1975"/>
      <c r="P43" s="4547" t="str">
        <f>A43</f>
        <v>成交单价</v>
      </c>
      <c r="Q43" s="4547"/>
      <c r="R43" s="4548">
        <f>E43</f>
        <v>0</v>
      </c>
      <c r="S43" s="4548"/>
      <c r="T43" s="4548">
        <f>G43</f>
        <v>0</v>
      </c>
      <c r="U43" s="4548"/>
      <c r="V43" s="4548">
        <f>I43</f>
        <v>0</v>
      </c>
      <c r="W43" s="4548"/>
      <c r="X43" s="265"/>
      <c r="Y43" s="486"/>
      <c r="Z43" s="265"/>
      <c r="AA43" s="265"/>
      <c r="AB43" s="265"/>
      <c r="AC43" s="265"/>
    </row>
    <row r="44" spans="1:31" ht="14.5" thickBot="1">
      <c r="A44" s="289" t="s">
        <v>1700</v>
      </c>
      <c r="B44" s="440"/>
      <c r="C44" s="3745" t="e">
        <f>R45</f>
        <v>#DIV/0!</v>
      </c>
      <c r="D44" s="3850" t="s">
        <v>2042</v>
      </c>
      <c r="E44" s="3745" t="e">
        <f>R44</f>
        <v>#DIV/0!</v>
      </c>
      <c r="F44" s="2801"/>
      <c r="G44" s="3734" t="e">
        <f>T44</f>
        <v>#DIV/0!</v>
      </c>
      <c r="H44" s="2801"/>
      <c r="I44" s="3745" t="e">
        <f>V44</f>
        <v>#DIV/0!</v>
      </c>
      <c r="J44" s="2801"/>
      <c r="K44" s="2855">
        <f>F44+H44+J44</f>
        <v>0</v>
      </c>
      <c r="L44" s="1982"/>
      <c r="M44" s="1975"/>
      <c r="N44" s="1975"/>
      <c r="O44" s="1975"/>
      <c r="P44" s="4547" t="str">
        <f>A44</f>
        <v>比较价值（元/平方米）</v>
      </c>
      <c r="Q44" s="4547"/>
      <c r="R44" s="4548" t="e">
        <f>ROUND(PRODUCT(R43,AA9:AA42),0)</f>
        <v>#DIV/0!</v>
      </c>
      <c r="S44" s="4548"/>
      <c r="T44" s="4548" t="e">
        <f>ROUND(PRODUCT(T43,AB9:AB42),0)</f>
        <v>#DIV/0!</v>
      </c>
      <c r="U44" s="4548"/>
      <c r="V44" s="4548" t="e">
        <f>ROUND(PRODUCT(V43,AC9:AC42),0)</f>
        <v>#DIV/0!</v>
      </c>
      <c r="W44" s="4548"/>
      <c r="X44" s="265"/>
      <c r="Y44" s="265"/>
      <c r="Z44" s="265"/>
      <c r="AA44" s="265"/>
      <c r="AB44" s="265"/>
      <c r="AC44" s="265"/>
    </row>
    <row r="45" spans="1:31" ht="14.5" thickBot="1">
      <c r="A45" s="291" t="s">
        <v>1701</v>
      </c>
      <c r="B45" s="292"/>
      <c r="C45" s="3746" t="e">
        <f>R45</f>
        <v>#DIV/0!</v>
      </c>
      <c r="D45" s="3155"/>
      <c r="E45" s="3155"/>
      <c r="F45" s="3155"/>
      <c r="G45" s="3155"/>
      <c r="H45" s="3155"/>
      <c r="I45" s="3155"/>
      <c r="J45" s="3155"/>
      <c r="K45" s="3177"/>
      <c r="L45" s="1982"/>
      <c r="M45" s="1975"/>
      <c r="N45" s="1975"/>
      <c r="O45" s="1975"/>
      <c r="P45" s="4544" t="str">
        <f>A45</f>
        <v>估价对象XX用房的比较价值（楼面单价，元/平方米）</v>
      </c>
      <c r="Q45" s="4545"/>
      <c r="R45" s="4546" t="e">
        <f>ROUND(IF(D44="简单平均",AVERAGE(R44:W44),R44*F44+T44*H44+V44*J44),0)</f>
        <v>#DIV/0!</v>
      </c>
      <c r="S45" s="4546"/>
      <c r="T45" s="4546"/>
      <c r="U45" s="4546"/>
      <c r="V45" s="4546"/>
      <c r="W45" s="454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
      <c r="A52" s="441" t="s">
        <v>1788</v>
      </c>
      <c r="B52" s="442" t="s">
        <v>1789</v>
      </c>
      <c r="C52" s="1431" t="s">
        <v>1790</v>
      </c>
      <c r="D52" s="1432" t="s">
        <v>1791</v>
      </c>
      <c r="E52" s="443" t="s">
        <v>1792</v>
      </c>
      <c r="F52" s="444" t="s">
        <v>1793</v>
      </c>
      <c r="G52" s="4606" t="s">
        <v>1794</v>
      </c>
      <c r="H52" s="4672"/>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4" t="e">
        <f>C45</f>
        <v>#DIV/0!</v>
      </c>
      <c r="C53" s="3088">
        <v>1</v>
      </c>
      <c r="D53" s="3065">
        <v>1</v>
      </c>
      <c r="E53" s="3064">
        <f>'数据-汇总表'!E8+'数据-汇总表'!E9</f>
        <v>9775.8700000000008</v>
      </c>
      <c r="F53" s="3067" t="e">
        <f t="shared" ref="F53:F62" si="15">ROUND(B53*E53/10000,0)</f>
        <v>#DIV/0!</v>
      </c>
      <c r="G53" s="4673"/>
      <c r="H53" s="4660"/>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4"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4"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4"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4"/>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4" t="e">
        <f t="shared" si="17"/>
        <v>#DIV/0!</v>
      </c>
      <c r="C58" s="3063">
        <f t="shared" si="16"/>
        <v>0.3</v>
      </c>
      <c r="D58" s="3066">
        <v>0.25</v>
      </c>
      <c r="E58" s="3069">
        <f>'数据-汇总表'!E11</f>
        <v>1306.8499999999999</v>
      </c>
      <c r="F58" s="3067" t="e">
        <f t="shared" si="15"/>
        <v>#DIV/0!</v>
      </c>
      <c r="G58" s="3078" t="s">
        <v>1803</v>
      </c>
      <c r="H58" s="3072" t="str">
        <f>项目基本情况!C37</f>
        <v>二级</v>
      </c>
      <c r="I58" s="2731">
        <f>SUMIF(修正!A59:A70,H58,修正!E59:E70)</f>
        <v>0.3</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4" t="e">
        <f t="shared" si="17"/>
        <v>#DIV/0!</v>
      </c>
      <c r="C59" s="3063">
        <f t="shared" si="16"/>
        <v>0.3</v>
      </c>
      <c r="D59" s="3066">
        <v>0.25</v>
      </c>
      <c r="E59" s="3069">
        <f>'数据-汇总表'!E12</f>
        <v>0</v>
      </c>
      <c r="F59" s="3067" t="e">
        <f t="shared" si="15"/>
        <v>#DIV/0!</v>
      </c>
      <c r="G59" s="3079" t="s">
        <v>1805</v>
      </c>
      <c r="H59" s="3072" t="str">
        <f>IF(G59="商业",项目基本情况!B37,IF(G59="办公",项目基本情况!C37,IF(G59="住宅",项目基本情况!D37,项目基本情况!E37)))</f>
        <v>二级</v>
      </c>
      <c r="I59" s="2731">
        <f>SUMIF(修正!A59:A70,H59,修正!F59:F70)</f>
        <v>0.3</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4" t="e">
        <f t="shared" si="17"/>
        <v>#DIV/0!</v>
      </c>
      <c r="C60" s="3063">
        <f t="shared" si="16"/>
        <v>0</v>
      </c>
      <c r="D60" s="3066">
        <v>0.25</v>
      </c>
      <c r="E60" s="3069">
        <f>'数据-汇总表'!E13</f>
        <v>917.51</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4"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5" thickBot="1">
      <c r="A62" s="447" t="s">
        <v>1809</v>
      </c>
      <c r="B62" s="3774" t="e">
        <f t="shared" si="17"/>
        <v>#DIV/0!</v>
      </c>
      <c r="C62" s="3063">
        <f t="shared" si="16"/>
        <v>0.2</v>
      </c>
      <c r="D62" s="3066">
        <v>0.25</v>
      </c>
      <c r="E62" s="3069">
        <f>'数据-汇总表'!E15</f>
        <v>0</v>
      </c>
      <c r="F62" s="3067" t="e">
        <f t="shared" si="15"/>
        <v>#DIV/0!</v>
      </c>
      <c r="G62" s="3080" t="s">
        <v>1803</v>
      </c>
      <c r="H62" s="3074" t="str">
        <f>项目基本情况!C37</f>
        <v>二级</v>
      </c>
      <c r="I62" s="2731">
        <f>SUMIF(修正!A59:A70,H62,修正!G59:G70)</f>
        <v>0.2</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5" thickBot="1">
      <c r="A63" s="448" t="s">
        <v>1810</v>
      </c>
      <c r="B63" s="449" t="s">
        <v>20</v>
      </c>
      <c r="C63" s="449" t="s">
        <v>21</v>
      </c>
      <c r="D63" s="449" t="s">
        <v>386</v>
      </c>
      <c r="E63" s="3070">
        <f>IF(B43="楼面地价",SUM(E53:E62),'数据-汇总表'!D3)</f>
        <v>1066.21</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8.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4.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8.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4.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4.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4.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4.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5"/>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8" t="s">
        <v>3627</v>
      </c>
      <c r="B4" s="3383">
        <f ca="1">ROUND(B2*10000/IF(C1="",'数据-汇总表'!D3,INDIRECT("'数据-取费表'!R"&amp;$K$1)),0)</f>
        <v>0</v>
      </c>
      <c r="C4" s="3382" t="s">
        <v>1532</v>
      </c>
      <c r="E4" s="514"/>
      <c r="I4" s="2045"/>
      <c r="J4" s="2045"/>
      <c r="K4" s="2045"/>
    </row>
    <row r="5" spans="1:33" ht="18" customHeight="1" thickBot="1">
      <c r="A5" s="94"/>
      <c r="B5" s="3379">
        <f ca="1">ROUND(B2/(IF(C1="",'数据-汇总表'!D3,INDIRECT("'数据-取费表'!R"&amp;$K$1))/666.67),0)</f>
        <v>0</v>
      </c>
      <c r="C5" s="3381" t="s">
        <v>3625</v>
      </c>
      <c r="E5" s="514"/>
      <c r="I5" s="2045"/>
      <c r="J5" s="2045"/>
      <c r="K5" s="2045"/>
    </row>
    <row r="6" spans="1:33" s="515" customFormat="1" ht="16.5" customHeight="1">
      <c r="A6" s="2653" t="s">
        <v>3374</v>
      </c>
      <c r="B6" s="2652"/>
      <c r="C6" s="4678" t="s">
        <v>3376</v>
      </c>
      <c r="D6" s="4678"/>
      <c r="E6" s="4678"/>
      <c r="F6" s="4678"/>
      <c r="G6" s="4678"/>
      <c r="H6" s="4678"/>
      <c r="I6" s="4678"/>
      <c r="J6" s="4678"/>
      <c r="K6" s="4679"/>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3960</v>
      </c>
      <c r="B10" s="4075" t="s">
        <v>3959</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82" t="s">
        <v>3389</v>
      </c>
      <c r="B11" s="4683"/>
      <c r="C11" s="4683"/>
      <c r="D11" s="4683"/>
      <c r="E11" s="4683"/>
      <c r="F11" s="4683"/>
      <c r="G11" s="4683"/>
      <c r="H11" s="4683"/>
      <c r="I11" s="4683"/>
      <c r="J11" s="4683"/>
      <c r="K11" s="4684"/>
    </row>
    <row r="12" spans="1:33" s="4072" customFormat="1" ht="13.5" customHeight="1">
      <c r="A12" s="3211" t="s">
        <v>3509</v>
      </c>
      <c r="B12" s="4069" t="s">
        <v>1537</v>
      </c>
      <c r="C12" s="4073" t="s">
        <v>3956</v>
      </c>
      <c r="D12" s="4069" t="s">
        <v>1539</v>
      </c>
      <c r="E12" s="4069" t="s">
        <v>1540</v>
      </c>
      <c r="F12" s="4069" t="s">
        <v>1541</v>
      </c>
      <c r="G12" s="4070" t="s">
        <v>3400</v>
      </c>
      <c r="H12" s="4069"/>
      <c r="I12" s="4069"/>
      <c r="J12" s="4069"/>
      <c r="K12" s="4071"/>
    </row>
    <row r="13" spans="1:33" s="521" customFormat="1" ht="13.5" customHeight="1">
      <c r="A13" s="2493">
        <v>1</v>
      </c>
      <c r="B13" s="2677" t="s">
        <v>3375</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3665</v>
      </c>
      <c r="H14" s="25"/>
      <c r="I14" s="25"/>
      <c r="J14" s="25"/>
      <c r="K14" s="27"/>
    </row>
    <row r="15" spans="1:33" s="523" customFormat="1" ht="13.5" customHeight="1">
      <c r="A15" s="2493">
        <v>3</v>
      </c>
      <c r="B15" s="2655" t="s">
        <v>3377</v>
      </c>
      <c r="C15" s="2663">
        <f ca="1">SUM(C16:C19)+C25+C26</f>
        <v>0</v>
      </c>
      <c r="D15" s="530"/>
      <c r="E15" s="173"/>
      <c r="F15" s="2663"/>
      <c r="G15" s="2715" t="s">
        <v>3666</v>
      </c>
      <c r="H15" s="55"/>
      <c r="I15" s="55"/>
      <c r="J15" s="55"/>
      <c r="K15" s="2680"/>
    </row>
    <row r="16" spans="1:33" s="523" customFormat="1" ht="13.5" customHeight="1">
      <c r="A16" s="519" t="s">
        <v>355</v>
      </c>
      <c r="B16" s="2694" t="s">
        <v>3390</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3391</v>
      </c>
      <c r="C17" s="2702">
        <f ca="1">ROUND(C16*F17,0)</f>
        <v>0</v>
      </c>
      <c r="D17" s="522"/>
      <c r="E17" s="55"/>
      <c r="F17" s="2671">
        <f>'数据-取费表'!B33</f>
        <v>0.06</v>
      </c>
      <c r="G17" s="3409" t="s">
        <v>3676</v>
      </c>
      <c r="H17" s="2678"/>
      <c r="I17" s="2678"/>
      <c r="J17" s="2678"/>
      <c r="K17" s="2679"/>
    </row>
    <row r="18" spans="1:33" s="523" customFormat="1" ht="13.5" customHeight="1">
      <c r="A18" s="519" t="s">
        <v>1536</v>
      </c>
      <c r="B18" s="2694" t="s">
        <v>3392</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3379</v>
      </c>
      <c r="B19" s="2694" t="s">
        <v>3393</v>
      </c>
      <c r="C19" s="2702">
        <f ca="1">C20+C23+C24</f>
        <v>0</v>
      </c>
      <c r="D19" s="539"/>
      <c r="E19" s="55"/>
      <c r="F19" s="2671"/>
      <c r="G19" s="2678"/>
      <c r="H19" s="2678"/>
      <c r="I19" s="2678"/>
      <c r="J19" s="2678"/>
      <c r="K19" s="2679"/>
    </row>
    <row r="20" spans="1:33" s="523" customFormat="1" ht="13.5" customHeight="1">
      <c r="A20" s="2656" t="s">
        <v>3382</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3385</v>
      </c>
      <c r="B21" s="2697" t="s">
        <v>3396</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3386</v>
      </c>
      <c r="B22" s="2697" t="s">
        <v>3397</v>
      </c>
      <c r="C22" s="2703">
        <f ca="1">ROUND(D22*E22/10000,0)</f>
        <v>240</v>
      </c>
      <c r="D22" s="2705">
        <f ca="1">IF(C1="",'数据-汇总表'!E6,IF(INDIRECT("'数据-取费表'!c"&amp;$K$1)="住宅",INDIRECT("'数据-取费表'!s"&amp;$K$1),INDIRECT("'数据-取费表'!k"&amp;$K$1)+INDIRECT("'数据-取费表'!s"&amp;$K$1)))</f>
        <v>12000.230000000001</v>
      </c>
      <c r="E22" s="2703">
        <f>'数据-取费表'!B28</f>
        <v>200</v>
      </c>
      <c r="F22" s="2698"/>
      <c r="G22" s="186"/>
      <c r="H22" s="186"/>
      <c r="I22" s="186"/>
      <c r="J22" s="186"/>
      <c r="K22" s="1868"/>
    </row>
    <row r="23" spans="1:33" s="524" customFormat="1" ht="13.5" customHeight="1">
      <c r="A23" s="2656" t="s">
        <v>3383</v>
      </c>
      <c r="B23" s="2681" t="s">
        <v>1543</v>
      </c>
      <c r="C23" s="2702">
        <f ca="1">ROUND(D23*E23*F16/10000,0)</f>
        <v>0</v>
      </c>
      <c r="D23" s="2706">
        <f ca="1">IF(C1="",'数据-汇总表'!E3,INDIRECT("'数据-取费表'!K"&amp;$K$1)+INDIRECT("'数据-取费表'!S"&amp;$K$1))</f>
        <v>12000.230000000001</v>
      </c>
      <c r="E23" s="2702">
        <f>'数据-取费表'!B35</f>
        <v>300</v>
      </c>
      <c r="F23" s="2672"/>
      <c r="G23" s="2677" t="s">
        <v>3667</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3384</v>
      </c>
      <c r="B24" s="2681" t="s">
        <v>1545</v>
      </c>
      <c r="C24" s="2702">
        <f ca="1">ROUND(D24*E24/10000,0)</f>
        <v>0</v>
      </c>
      <c r="D24" s="2706">
        <f ca="1">D23</f>
        <v>12000.230000000001</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4" t="s">
        <v>3380</v>
      </c>
      <c r="B25" s="2695" t="s">
        <v>3394</v>
      </c>
      <c r="C25" s="2666">
        <f ca="1">ROUND(C16*F25,0)</f>
        <v>0</v>
      </c>
      <c r="D25" s="2657"/>
      <c r="E25" s="2658"/>
      <c r="F25" s="2671">
        <f>'数据-取费表'!B36</f>
        <v>0.01</v>
      </c>
      <c r="G25" s="2657"/>
      <c r="H25" s="2657"/>
      <c r="I25" s="2657"/>
      <c r="J25" s="2657"/>
      <c r="K25" s="2685"/>
    </row>
    <row r="26" spans="1:33" s="524" customFormat="1" ht="13.5" customHeight="1">
      <c r="A26" s="2654" t="s">
        <v>3381</v>
      </c>
      <c r="B26" s="2694" t="s">
        <v>3395</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3668</v>
      </c>
      <c r="H28" s="2678"/>
      <c r="I28" s="2678"/>
      <c r="J28" s="2678"/>
      <c r="K28" s="2679"/>
    </row>
    <row r="29" spans="1:33" s="523" customFormat="1" ht="13.5" customHeight="1">
      <c r="A29" s="2493">
        <v>6</v>
      </c>
      <c r="B29" s="2655" t="s">
        <v>3378</v>
      </c>
      <c r="C29" s="2701" t="str">
        <f ca="1">C31&amp;"+"&amp;C30&amp;"V"</f>
        <v>0+0V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3398</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80" t="s">
        <v>3388</v>
      </c>
      <c r="H32" s="4680"/>
      <c r="I32" s="4680"/>
      <c r="J32" s="4680"/>
      <c r="K32" s="4681"/>
    </row>
    <row r="33" spans="1:11" s="176" customFormat="1" ht="13.5" customHeight="1">
      <c r="A33" s="2493">
        <v>8</v>
      </c>
      <c r="B33" s="2659" t="s">
        <v>1554</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3398</v>
      </c>
      <c r="C35" s="2669">
        <f ca="1">ROUND((C15+C27+C28)*F33,0)</f>
        <v>0</v>
      </c>
      <c r="D35" s="174"/>
      <c r="E35" s="525"/>
      <c r="F35" s="2673"/>
      <c r="G35" s="55"/>
      <c r="H35" s="55"/>
      <c r="I35" s="55"/>
      <c r="J35" s="55"/>
      <c r="K35" s="2680"/>
    </row>
    <row r="36" spans="1:11" s="521" customFormat="1" ht="15">
      <c r="A36" s="2493">
        <v>9</v>
      </c>
      <c r="B36" s="2677" t="s">
        <v>3387</v>
      </c>
      <c r="C36" s="2662">
        <f ca="1">ROUND((C13-C15-C27-C28-C31-C35-C32)/(1+F14+C30+C34),0)</f>
        <v>0</v>
      </c>
      <c r="D36" s="2678"/>
      <c r="E36" s="2678"/>
      <c r="F36" s="172"/>
      <c r="G36" s="2711" t="s">
        <v>3399</v>
      </c>
      <c r="H36" s="2678"/>
      <c r="I36" s="2678"/>
      <c r="J36" s="2678"/>
      <c r="K36" s="2679"/>
    </row>
    <row r="37" spans="1:11" s="2788" customFormat="1" ht="14.5" thickBot="1">
      <c r="A37" s="2691">
        <v>10</v>
      </c>
      <c r="B37" s="2692" t="s">
        <v>3474</v>
      </c>
      <c r="C37" s="2785">
        <f ca="1">ROUND(C36*(1+F37),0)</f>
        <v>0</v>
      </c>
      <c r="D37" s="2786"/>
      <c r="E37" s="2787"/>
      <c r="F37" s="2693">
        <v>0.09</v>
      </c>
      <c r="G37" s="2677" t="s">
        <v>3475</v>
      </c>
      <c r="H37" s="2678"/>
      <c r="I37" s="2678"/>
      <c r="J37" s="2678"/>
      <c r="K37" s="2679"/>
    </row>
    <row r="38" spans="1:11" ht="12.75" customHeight="1"/>
    <row r="44" spans="1:11" s="3209" customFormat="1" ht="18" thickBot="1">
      <c r="A44" s="3214" t="s">
        <v>3482</v>
      </c>
      <c r="B44" s="1861"/>
      <c r="C44" s="3215"/>
      <c r="D44" s="1861"/>
      <c r="E44" s="1861"/>
      <c r="F44" s="1861"/>
      <c r="G44" s="1861"/>
    </row>
    <row r="45" spans="1:11" s="3209" customFormat="1" ht="14">
      <c r="A45" s="3211" t="s">
        <v>3509</v>
      </c>
      <c r="B45" s="2675" t="s">
        <v>1537</v>
      </c>
      <c r="C45" s="2676" t="s">
        <v>1538</v>
      </c>
      <c r="D45" s="1164" t="s">
        <v>1539</v>
      </c>
      <c r="E45" s="1164" t="s">
        <v>1540</v>
      </c>
      <c r="F45" s="1164" t="s">
        <v>1541</v>
      </c>
      <c r="G45" s="2712" t="s">
        <v>3400</v>
      </c>
    </row>
    <row r="46" spans="1:11" s="3209" customFormat="1" ht="13">
      <c r="A46" s="626">
        <v>1</v>
      </c>
      <c r="B46" s="2695" t="s">
        <v>3483</v>
      </c>
      <c r="C46" s="2666">
        <f>C13</f>
        <v>0</v>
      </c>
      <c r="D46" s="626"/>
      <c r="E46" s="626"/>
      <c r="F46" s="626"/>
      <c r="G46" s="626"/>
    </row>
    <row r="47" spans="1:11" s="3209" customFormat="1" ht="13">
      <c r="A47" s="626">
        <v>2</v>
      </c>
      <c r="B47" s="2695" t="s">
        <v>3485</v>
      </c>
      <c r="C47" s="2666" t="str">
        <f>C14</f>
        <v>0.0305V</v>
      </c>
      <c r="D47" s="626"/>
      <c r="E47" s="626"/>
      <c r="F47" s="626"/>
      <c r="G47" s="626"/>
    </row>
    <row r="48" spans="1:11" s="3209" customFormat="1" ht="13">
      <c r="A48" s="626">
        <v>3</v>
      </c>
      <c r="B48" s="2695" t="s">
        <v>3484</v>
      </c>
      <c r="C48" s="2666" t="e">
        <f ca="1">C49+C59+C60+C63</f>
        <v>#VALUE!</v>
      </c>
      <c r="D48" s="626"/>
      <c r="E48" s="626"/>
      <c r="F48" s="626"/>
      <c r="G48" s="626"/>
    </row>
    <row r="49" spans="1:7" s="3209" customFormat="1" ht="13">
      <c r="A49" s="3212" t="s">
        <v>355</v>
      </c>
      <c r="B49" s="2695" t="s">
        <v>3494</v>
      </c>
      <c r="C49" s="2666">
        <f ca="1">C50+C51+C52+C53+C57+C58</f>
        <v>0</v>
      </c>
      <c r="D49" s="626"/>
      <c r="E49" s="626"/>
      <c r="F49" s="626"/>
      <c r="G49" s="626"/>
    </row>
    <row r="50" spans="1:7" s="3209" customFormat="1" ht="13">
      <c r="A50" s="3213" t="s">
        <v>3495</v>
      </c>
      <c r="B50" s="2695" t="s">
        <v>3499</v>
      </c>
      <c r="C50" s="2666">
        <f ca="1">C16</f>
        <v>0</v>
      </c>
      <c r="D50" s="626"/>
      <c r="E50" s="626"/>
      <c r="F50" s="626"/>
      <c r="G50" s="626"/>
    </row>
    <row r="51" spans="1:7" s="3209" customFormat="1" ht="13">
      <c r="A51" s="3213" t="s">
        <v>3510</v>
      </c>
      <c r="B51" s="626" t="s">
        <v>3496</v>
      </c>
      <c r="C51" s="2666">
        <f t="shared" ref="C51:C53" ca="1" si="0">C17</f>
        <v>0</v>
      </c>
      <c r="D51" s="626"/>
      <c r="E51" s="626"/>
      <c r="F51" s="626"/>
      <c r="G51" s="626"/>
    </row>
    <row r="52" spans="1:7" s="3209" customFormat="1" ht="13">
      <c r="A52" s="3213" t="s">
        <v>3511</v>
      </c>
      <c r="B52" s="626" t="s">
        <v>3497</v>
      </c>
      <c r="C52" s="2666">
        <f t="shared" ca="1" si="0"/>
        <v>0</v>
      </c>
      <c r="D52" s="626"/>
      <c r="E52" s="626"/>
      <c r="F52" s="626"/>
      <c r="G52" s="626"/>
    </row>
    <row r="53" spans="1:7" s="3209" customFormat="1" ht="13">
      <c r="A53" s="3213" t="s">
        <v>3512</v>
      </c>
      <c r="B53" s="626" t="s">
        <v>3498</v>
      </c>
      <c r="C53" s="2666">
        <f t="shared" ca="1" si="0"/>
        <v>0</v>
      </c>
      <c r="D53" s="626"/>
      <c r="E53" s="626"/>
      <c r="F53" s="626"/>
      <c r="G53" s="626"/>
    </row>
    <row r="54" spans="1:7" s="3209" customFormat="1">
      <c r="A54" s="3404" t="s">
        <v>3385</v>
      </c>
      <c r="B54" s="3405" t="s">
        <v>3502</v>
      </c>
      <c r="C54" s="3406">
        <f ca="1">C20</f>
        <v>0</v>
      </c>
      <c r="D54" s="626"/>
      <c r="E54" s="626"/>
      <c r="F54" s="626"/>
      <c r="G54" s="626"/>
    </row>
    <row r="55" spans="1:7" s="3209" customFormat="1">
      <c r="A55" s="3404" t="s">
        <v>3386</v>
      </c>
      <c r="B55" s="3405" t="s">
        <v>3503</v>
      </c>
      <c r="C55" s="3406">
        <f ca="1">C23</f>
        <v>0</v>
      </c>
      <c r="D55" s="626"/>
      <c r="E55" s="626"/>
      <c r="F55" s="626"/>
      <c r="G55" s="626"/>
    </row>
    <row r="56" spans="1:7" s="3209" customFormat="1">
      <c r="A56" s="3404" t="s">
        <v>3662</v>
      </c>
      <c r="B56" s="3405" t="s">
        <v>3504</v>
      </c>
      <c r="C56" s="3406">
        <f ca="1">C24</f>
        <v>0</v>
      </c>
      <c r="D56" s="626"/>
      <c r="E56" s="626"/>
      <c r="F56" s="626"/>
      <c r="G56" s="626"/>
    </row>
    <row r="57" spans="1:7" s="3209" customFormat="1" ht="13">
      <c r="A57" s="3213" t="s">
        <v>3513</v>
      </c>
      <c r="B57" s="626" t="s">
        <v>3500</v>
      </c>
      <c r="C57" s="2666">
        <f ca="1">C25</f>
        <v>0</v>
      </c>
      <c r="D57" s="626"/>
      <c r="E57" s="626"/>
      <c r="F57" s="626"/>
      <c r="G57" s="626"/>
    </row>
    <row r="58" spans="1:7" s="3209" customFormat="1" ht="13">
      <c r="A58" s="3213" t="s">
        <v>3514</v>
      </c>
      <c r="B58" s="626" t="s">
        <v>3501</v>
      </c>
      <c r="C58" s="2666">
        <f ca="1">C26</f>
        <v>0</v>
      </c>
      <c r="D58" s="626"/>
      <c r="E58" s="626"/>
      <c r="F58" s="626"/>
      <c r="G58" s="626"/>
    </row>
    <row r="59" spans="1:7" s="3209" customFormat="1" ht="13">
      <c r="A59" s="3212" t="s">
        <v>3493</v>
      </c>
      <c r="B59" s="2695" t="s">
        <v>3487</v>
      </c>
      <c r="C59" s="2666">
        <f ca="1">C27</f>
        <v>0</v>
      </c>
      <c r="D59" s="626"/>
      <c r="E59" s="626"/>
      <c r="F59" s="626"/>
      <c r="G59" s="626"/>
    </row>
    <row r="60" spans="1:7" s="3209" customFormat="1" ht="13">
      <c r="A60" s="3212" t="s">
        <v>3505</v>
      </c>
      <c r="B60" s="2695" t="s">
        <v>3506</v>
      </c>
      <c r="C60" s="2666">
        <f ca="1">C61+C62</f>
        <v>0</v>
      </c>
      <c r="D60" s="626"/>
      <c r="E60" s="626"/>
      <c r="F60" s="626"/>
      <c r="G60" s="626"/>
    </row>
    <row r="61" spans="1:7" s="3209" customFormat="1" ht="13">
      <c r="A61" s="3213" t="s">
        <v>3495</v>
      </c>
      <c r="B61" s="2695" t="s">
        <v>3490</v>
      </c>
      <c r="C61" s="2666">
        <f ca="1">C28</f>
        <v>0</v>
      </c>
      <c r="D61" s="626"/>
      <c r="E61" s="626"/>
      <c r="F61" s="626"/>
      <c r="G61" s="626"/>
    </row>
    <row r="62" spans="1:7" s="3209" customFormat="1" ht="13">
      <c r="A62" s="3213" t="s">
        <v>3507</v>
      </c>
      <c r="B62" s="2695" t="s">
        <v>3489</v>
      </c>
      <c r="C62" s="2666">
        <f>C32</f>
        <v>0</v>
      </c>
      <c r="D62" s="626"/>
      <c r="E62" s="626"/>
      <c r="F62" s="626"/>
      <c r="G62" s="626"/>
    </row>
    <row r="63" spans="1:7" s="3209" customFormat="1" ht="13">
      <c r="A63" s="3212" t="s">
        <v>3508</v>
      </c>
      <c r="B63" s="2695" t="s">
        <v>3488</v>
      </c>
      <c r="C63" s="2666" t="str">
        <f ca="1">C29</f>
        <v>0+0V</v>
      </c>
      <c r="D63" s="626"/>
      <c r="E63" s="626"/>
      <c r="F63" s="626"/>
      <c r="G63" s="626"/>
    </row>
    <row r="64" spans="1:7" s="3209" customFormat="1" ht="13">
      <c r="A64" s="626">
        <v>4</v>
      </c>
      <c r="B64" s="2695" t="s">
        <v>3491</v>
      </c>
      <c r="C64" s="2666" t="str">
        <f ca="1">C33</f>
        <v>0+0V</v>
      </c>
      <c r="D64" s="626"/>
      <c r="E64" s="626"/>
      <c r="F64" s="626"/>
      <c r="G64" s="626"/>
    </row>
    <row r="65" spans="1:7" s="3209" customFormat="1" ht="13">
      <c r="A65" s="626">
        <v>5</v>
      </c>
      <c r="B65" s="2695" t="s">
        <v>3492</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5">
      <c r="A2" s="1574" t="s">
        <v>1980</v>
      </c>
      <c r="B2" s="2922">
        <f ca="1">SUMIF(B6:B13,"&lt;&gt;#ref!",B6:B13)</f>
        <v>16952</v>
      </c>
      <c r="C2" s="1574" t="s">
        <v>1981</v>
      </c>
      <c r="D2" s="1574" t="s">
        <v>1982</v>
      </c>
      <c r="E2" s="2923">
        <f ca="1">SUMIF(E6:E13,"&lt;&gt;#ref!",E6:E13)</f>
        <v>12000.230000000001</v>
      </c>
      <c r="F2" s="2032"/>
      <c r="G2" s="2032"/>
      <c r="H2" s="2032"/>
      <c r="I2" s="2032"/>
      <c r="J2" s="2032"/>
      <c r="K2" s="2032"/>
      <c r="L2" s="2032"/>
      <c r="M2" s="2032"/>
      <c r="N2" s="2032"/>
      <c r="O2" s="2032"/>
      <c r="P2" s="2032"/>
    </row>
    <row r="3" spans="1:16" ht="15.5">
      <c r="A3" s="1574" t="s">
        <v>1983</v>
      </c>
      <c r="B3" s="2922">
        <f ca="1">ROUND(B2*10000/E2,0)</f>
        <v>14126</v>
      </c>
      <c r="C3" s="1574" t="s">
        <v>1989</v>
      </c>
      <c r="D3" s="2032"/>
      <c r="E3" s="2032"/>
      <c r="F3" s="2032"/>
      <c r="G3" s="2032"/>
      <c r="H3" s="2032"/>
      <c r="I3" s="2032"/>
      <c r="J3" s="2032"/>
      <c r="K3" s="2032"/>
      <c r="L3" s="2032"/>
      <c r="M3" s="2032"/>
      <c r="N3" s="2032"/>
      <c r="O3" s="2032"/>
      <c r="P3" s="2032"/>
    </row>
    <row r="4" spans="1:16" ht="15.5">
      <c r="A4" s="2044"/>
      <c r="B4" s="2032"/>
      <c r="C4" s="2032"/>
      <c r="D4" s="2032"/>
      <c r="E4" s="2032"/>
      <c r="F4" s="2032"/>
      <c r="G4" s="2032"/>
      <c r="H4" s="2032"/>
      <c r="I4" s="2032"/>
      <c r="J4" s="2032"/>
      <c r="K4" s="2032"/>
      <c r="L4" s="2032"/>
      <c r="M4" s="2032"/>
      <c r="N4" s="2032"/>
      <c r="O4" s="2032"/>
      <c r="P4" s="2032"/>
    </row>
    <row r="5" spans="1:16" ht="30">
      <c r="A5" s="1885" t="s">
        <v>1984</v>
      </c>
      <c r="B5" s="1887" t="s">
        <v>1985</v>
      </c>
      <c r="C5" s="1575"/>
      <c r="D5" s="2032"/>
      <c r="E5" s="1888" t="s">
        <v>1986</v>
      </c>
      <c r="F5" s="2032"/>
      <c r="G5" s="2032"/>
      <c r="H5" s="2032"/>
      <c r="I5" s="2032"/>
      <c r="J5" s="2032"/>
      <c r="K5" s="2032"/>
      <c r="L5" s="2032"/>
      <c r="M5" s="2032"/>
      <c r="N5" s="2032"/>
      <c r="O5" s="2032"/>
      <c r="P5" s="2032"/>
    </row>
    <row r="6" spans="1:16" ht="15.5">
      <c r="A6" s="1886" t="s">
        <v>1987</v>
      </c>
      <c r="B6" s="2922">
        <f ca="1">SUMIF(INDIRECT("'"&amp;A6&amp;"'"&amp;"!A:A"),"总价",INDIRECT("'"&amp;A6&amp;"'"&amp;"!B:B"))</f>
        <v>16952</v>
      </c>
      <c r="C6" s="1574" t="s">
        <v>1981</v>
      </c>
      <c r="D6" s="2032"/>
      <c r="E6" s="2923">
        <f ca="1">SUMIF(INDIRECT("'"&amp;A6&amp;"'"&amp;"!C:C"),"建筑面积",INDIRECT("'"&amp;A6&amp;"'"&amp;"!D:D"))</f>
        <v>12000.230000000001</v>
      </c>
      <c r="F6" s="2032"/>
      <c r="G6" s="2032"/>
      <c r="H6" s="2032"/>
      <c r="I6" s="2032"/>
      <c r="J6" s="2032"/>
      <c r="K6" s="2032"/>
      <c r="L6" s="2032"/>
      <c r="M6" s="2032"/>
      <c r="N6" s="2032"/>
      <c r="O6" s="2032"/>
      <c r="P6" s="2032"/>
    </row>
    <row r="7" spans="1:16" ht="15.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72944-14D8-4FD6-B352-EF8CA2F47EEC}">
  <sheetPr>
    <tabColor rgb="FF7030A0"/>
  </sheetPr>
  <dimension ref="I8:S51"/>
  <sheetViews>
    <sheetView topLeftCell="A34" workbookViewId="0">
      <selection activeCell="B51" sqref="B51"/>
    </sheetView>
  </sheetViews>
  <sheetFormatPr defaultRowHeight="14"/>
  <sheetData>
    <row r="8" spans="9:19">
      <c r="I8" s="1049" t="s">
        <v>4337</v>
      </c>
      <c r="S8" s="1049" t="s">
        <v>4338</v>
      </c>
    </row>
    <row r="51" spans="9:9">
      <c r="I51" s="1049" t="s">
        <v>4339</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4"/>
      <c r="C2" s="4294"/>
      <c r="D2" s="4294"/>
      <c r="E2" s="4294"/>
    </row>
    <row r="3" spans="1:5" ht="18">
      <c r="A3" s="4295" t="str">
        <f>IF(项目基本情况!B9="房地产市场价值","估价结果一览表（市场价值不需“结果表-1”）","估价结果一览表")</f>
        <v>估价结果一览表</v>
      </c>
      <c r="B3" s="4295"/>
      <c r="C3" s="4295"/>
      <c r="D3" s="4295"/>
      <c r="E3" s="4295"/>
    </row>
    <row r="4" spans="1:5" ht="18.5" thickBot="1">
      <c r="A4" s="1035"/>
      <c r="B4" s="4293" t="s">
        <v>901</v>
      </c>
      <c r="C4" s="4293"/>
      <c r="D4" s="4293"/>
      <c r="E4" s="1035"/>
    </row>
    <row r="5" spans="1:5" ht="16" thickTop="1">
      <c r="B5" s="4291" t="s">
        <v>893</v>
      </c>
      <c r="C5" s="1036" t="s">
        <v>894</v>
      </c>
      <c r="D5" s="540">
        <f ca="1">结果表!H101</f>
        <v>32318</v>
      </c>
    </row>
    <row r="6" spans="1:5" ht="15.5">
      <c r="B6" s="4291"/>
      <c r="C6" s="1036" t="s">
        <v>895</v>
      </c>
      <c r="D6" s="540" t="str">
        <f ca="1">NUMBERSTRING(INT(D5*10000),2)&amp;"元整"</f>
        <v>叁亿贰仟叁佰壹拾捌万元整</v>
      </c>
    </row>
    <row r="7" spans="1:5" ht="15.5">
      <c r="B7" s="4296"/>
      <c r="C7" s="1037" t="s">
        <v>896</v>
      </c>
      <c r="D7" s="541">
        <f ca="1">结果表!H102</f>
        <v>26931</v>
      </c>
    </row>
    <row r="8" spans="1:5" ht="15.5">
      <c r="B8" s="4297" t="str">
        <f>结果表!E103</f>
        <v>2.估价师知悉的法定优先受偿款</v>
      </c>
      <c r="C8" s="1038" t="s">
        <v>897</v>
      </c>
      <c r="D8" s="541">
        <f>结果表!H103</f>
        <v>0</v>
      </c>
    </row>
    <row r="9" spans="1:5" ht="15.5">
      <c r="B9" s="4299"/>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90" t="str">
        <f>结果表!E107</f>
        <v>3.房地产抵押价值</v>
      </c>
      <c r="C13" s="1041" t="s">
        <v>894</v>
      </c>
      <c r="D13" s="543">
        <f ca="1">结果表!H107</f>
        <v>32318</v>
      </c>
    </row>
    <row r="14" spans="1:5" ht="15.5">
      <c r="B14" s="4291"/>
      <c r="C14" s="1036" t="s">
        <v>895</v>
      </c>
      <c r="D14" s="540" t="str">
        <f ca="1">NUMBERSTRING(INT(D13*10000),2)&amp;"元整"</f>
        <v>叁亿贰仟叁佰壹拾捌万元整</v>
      </c>
    </row>
    <row r="15" spans="1:5" ht="15.5">
      <c r="B15" s="4296"/>
      <c r="C15" s="1037" t="s">
        <v>905</v>
      </c>
      <c r="D15" s="548">
        <f ca="1">结果表!H108</f>
        <v>26931</v>
      </c>
    </row>
    <row r="16" spans="1:5" ht="15">
      <c r="B16" s="4297" t="str">
        <f>结果表!E109</f>
        <v>——</v>
      </c>
      <c r="C16" s="1041" t="s">
        <v>906</v>
      </c>
      <c r="D16" s="1042" t="str">
        <f>结果表!H109</f>
        <v>——</v>
      </c>
    </row>
    <row r="17" spans="1:5" ht="15.5">
      <c r="B17" s="4298"/>
      <c r="C17" s="1036" t="s">
        <v>907</v>
      </c>
      <c r="D17" s="540" t="e">
        <f>NUMBERSTRING(INT(D16*10000),2)&amp;"元整"</f>
        <v>#VALUE!</v>
      </c>
    </row>
    <row r="18" spans="1:5" ht="15.5">
      <c r="B18" s="4299"/>
      <c r="C18" s="1037" t="s">
        <v>896</v>
      </c>
      <c r="D18" s="548" t="str">
        <f>结果表!H110</f>
        <v>——</v>
      </c>
    </row>
    <row r="19" spans="1:5" ht="15.5">
      <c r="B19" s="4290" t="str">
        <f>结果表!E111</f>
        <v>4.抵押净值</v>
      </c>
      <c r="C19" s="1041" t="s">
        <v>894</v>
      </c>
      <c r="D19" s="541">
        <f ca="1">结果表!H111</f>
        <v>31979</v>
      </c>
    </row>
    <row r="20" spans="1:5" ht="15.5">
      <c r="B20" s="4291"/>
      <c r="C20" s="1036" t="s">
        <v>907</v>
      </c>
      <c r="D20" s="540" t="str">
        <f ca="1">NUMBERSTRING(INT(D19*10000),2)&amp;"元整"</f>
        <v>叁亿壹仟玖佰柒拾玖万元整</v>
      </c>
    </row>
    <row r="21" spans="1:5" ht="16" thickBot="1">
      <c r="B21" s="4292"/>
      <c r="C21" s="1043" t="s">
        <v>905</v>
      </c>
      <c r="D21" s="549">
        <f ca="1">结果表!H112</f>
        <v>26649</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2C7-138F-470A-8965-6F9A92EBD278}">
  <sheetPr>
    <tabColor rgb="FF7030A0"/>
  </sheetPr>
  <dimension ref="A1"/>
  <sheetViews>
    <sheetView workbookViewId="0">
      <selection activeCell="P37" sqref="P37"/>
    </sheetView>
  </sheetViews>
  <sheetFormatPr defaultRowHeight="1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25" sqref="D25"/>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8" t="s">
        <v>19</v>
      </c>
      <c r="C1" s="3324" t="s">
        <v>4126</v>
      </c>
      <c r="D1" s="93"/>
      <c r="E1" s="93"/>
      <c r="F1" s="93"/>
      <c r="G1" s="756">
        <f>MATCH(B1,'数据-取费表'!A6:A16,0)+5</f>
        <v>6</v>
      </c>
    </row>
    <row r="2" spans="1:9" s="95" customFormat="1" ht="15.5">
      <c r="A2" s="96" t="s">
        <v>1431</v>
      </c>
      <c r="B2" s="2522">
        <f ca="1">IF(C1="含税",E2+C33,E2+C32)</f>
        <v>30516</v>
      </c>
      <c r="C2" s="94" t="s">
        <v>1432</v>
      </c>
      <c r="D2" s="1335" t="s">
        <v>41</v>
      </c>
      <c r="E2" s="3411">
        <f ca="1">IF(D2="——",0,SUMIF(INDIRECT("'"&amp;G2&amp;"'"&amp;"!A:A"),"承租人权益价值",INDIRECT("'"&amp;G2&amp;"'"&amp;"!c:c")))</f>
        <v>0</v>
      </c>
      <c r="F2" s="1336" t="s">
        <v>1432</v>
      </c>
      <c r="G2" s="1337"/>
    </row>
    <row r="3" spans="1:9" s="95" customFormat="1" ht="16" thickBot="1">
      <c r="A3" s="98" t="s">
        <v>1433</v>
      </c>
      <c r="B3" s="2523">
        <f ca="1">ROUND(B2*10000/(IF(B1="",'数据-汇总表'!E3,INDIRECT("'数据-取费表'!k"&amp;$G$1))),0)</f>
        <v>25430</v>
      </c>
      <c r="C3" s="94" t="s">
        <v>1434</v>
      </c>
      <c r="D3" s="94"/>
      <c r="E3" s="2510"/>
      <c r="F3" s="94"/>
      <c r="G3" s="94"/>
    </row>
    <row r="4" spans="1:9" s="95" customFormat="1" ht="16" thickBot="1">
      <c r="A4" s="2567" t="s">
        <v>3329</v>
      </c>
      <c r="B4" s="2568" t="s">
        <v>3330</v>
      </c>
      <c r="C4" s="2507" t="s">
        <v>3953</v>
      </c>
      <c r="D4" s="2543" t="s">
        <v>3335</v>
      </c>
      <c r="E4" s="2544" t="s">
        <v>3336</v>
      </c>
      <c r="F4" s="2544" t="s">
        <v>3337</v>
      </c>
      <c r="G4" s="2508" t="s">
        <v>3331</v>
      </c>
    </row>
    <row r="5" spans="1:9" s="103" customFormat="1" ht="15.5">
      <c r="A5" s="2545" t="s">
        <v>3328</v>
      </c>
      <c r="B5" s="2546" t="s">
        <v>3332</v>
      </c>
      <c r="C5" s="2520">
        <f ca="1">ROUND((C6+C9+C21+C24+C25+C28)/(1-F22-C26-C29),0)</f>
        <v>30238</v>
      </c>
      <c r="D5" s="2547"/>
      <c r="E5" s="2547"/>
      <c r="F5" s="2547"/>
      <c r="G5" s="2699" t="s">
        <v>3471</v>
      </c>
    </row>
    <row r="6" spans="1:9" s="2533" customFormat="1" ht="14">
      <c r="A6" s="2512" t="s">
        <v>3338</v>
      </c>
      <c r="B6" s="2571" t="s">
        <v>3339</v>
      </c>
      <c r="C6" s="2548">
        <f>C7+C8</f>
        <v>17469</v>
      </c>
      <c r="D6" s="2511"/>
      <c r="E6" s="2511"/>
      <c r="F6" s="2511"/>
      <c r="G6" s="2549"/>
    </row>
    <row r="7" spans="1:9" s="109" customFormat="1" ht="13">
      <c r="A7" s="2550" t="s">
        <v>1441</v>
      </c>
      <c r="B7" s="2572" t="s">
        <v>1442</v>
      </c>
      <c r="C7" s="3020">
        <f>ROUND(基准地价修正!E33+基准地价修正!I40+基准地价修正!I42,0)</f>
        <v>16952</v>
      </c>
      <c r="D7" s="2551"/>
      <c r="E7" s="2552"/>
      <c r="F7" s="2552"/>
      <c r="G7" s="156"/>
    </row>
    <row r="8" spans="1:9" s="109" customFormat="1" ht="13">
      <c r="A8" s="2550" t="s">
        <v>1443</v>
      </c>
      <c r="B8" s="2572" t="s">
        <v>1444</v>
      </c>
      <c r="C8" s="2521">
        <f>ROUND(C7*F8,0)</f>
        <v>517</v>
      </c>
      <c r="D8" s="144"/>
      <c r="E8" s="2552"/>
      <c r="F8" s="2553">
        <f>IF(项目基本情况!B8="出让",0,'数据-取费表'!B49+'数据-取费表'!B50)</f>
        <v>3.0499999999999999E-2</v>
      </c>
      <c r="G8" s="156"/>
    </row>
    <row r="9" spans="1:9" s="2533" customFormat="1" ht="14">
      <c r="A9" s="2554" t="s">
        <v>336</v>
      </c>
      <c r="B9" s="2573" t="s">
        <v>3287</v>
      </c>
      <c r="C9" s="2534">
        <f ca="1">C10+C11+C12+C13+C19+C20</f>
        <v>6250</v>
      </c>
      <c r="D9" s="2555"/>
      <c r="E9" s="2556"/>
      <c r="F9" s="2557"/>
      <c r="G9" s="2558"/>
      <c r="I9" s="109"/>
    </row>
    <row r="10" spans="1:9" s="109" customFormat="1" ht="13">
      <c r="A10" s="2574" t="s">
        <v>344</v>
      </c>
      <c r="B10" s="2575" t="s">
        <v>3322</v>
      </c>
      <c r="C10" s="2521">
        <f ca="1">IF(B1="",IF(F10=100%,'数据-取费表'!M16,'数据-取费表'!O16),IF(F10=100%,INDIRECT("'数据-取费表'!m"&amp;$G$1)+INDIRECT("'数据-取费表'!t"&amp;$G$1),INDIRECT("'数据-取费表'!o"&amp;$G$1)+INDIRECT("'数据-取费表'!aq"&amp;$G$1)))</f>
        <v>5280</v>
      </c>
      <c r="D10" s="2551"/>
      <c r="E10" s="144"/>
      <c r="F10" s="2559">
        <f ca="1">IF('数据-取费表'!B24=0,1,IF(B1="",'数据-取费表'!N16,INDIRECT("'数据-取费表'!n"&amp;$G$1)))</f>
        <v>1</v>
      </c>
      <c r="G10" s="156" t="s">
        <v>1467</v>
      </c>
    </row>
    <row r="11" spans="1:9" s="109" customFormat="1" ht="13">
      <c r="A11" s="2574" t="s">
        <v>349</v>
      </c>
      <c r="B11" s="2575" t="s">
        <v>3323</v>
      </c>
      <c r="C11" s="2521">
        <f ca="1">ROUND(C10*F11,0)</f>
        <v>317</v>
      </c>
      <c r="D11" s="144"/>
      <c r="E11" s="144"/>
      <c r="F11" s="2532">
        <f>'数据-取费表'!B33</f>
        <v>0.06</v>
      </c>
      <c r="G11" s="3409" t="s">
        <v>3675</v>
      </c>
    </row>
    <row r="12" spans="1:9" s="109" customFormat="1" ht="13">
      <c r="A12" s="2574" t="s">
        <v>350</v>
      </c>
      <c r="B12" s="2575" t="s">
        <v>3324</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2" t="s">
        <v>3995</v>
      </c>
    </row>
    <row r="13" spans="1:9" s="109" customFormat="1" ht="13">
      <c r="A13" s="2574" t="s">
        <v>3288</v>
      </c>
      <c r="B13" s="2575" t="s">
        <v>3325</v>
      </c>
      <c r="C13" s="2521">
        <f ca="1">C14+C17+C18</f>
        <v>600</v>
      </c>
      <c r="D13" s="144"/>
      <c r="E13" s="2552"/>
      <c r="F13" s="2553"/>
      <c r="G13" s="156"/>
    </row>
    <row r="14" spans="1:9" s="118" customFormat="1" ht="13">
      <c r="A14" s="2505" t="s">
        <v>3289</v>
      </c>
      <c r="B14" s="2576" t="s">
        <v>3321</v>
      </c>
      <c r="C14" s="2521">
        <f ca="1">IF(G14="已包含在土地购买价格中","0",IF(B1="",'数据-取费表'!B29,IF(G15="全部缴纳",C15+C16,H15)))</f>
        <v>240</v>
      </c>
      <c r="D14" s="2560"/>
      <c r="E14" s="144"/>
      <c r="F14" s="2553"/>
      <c r="G14" s="1338" t="s">
        <v>4127</v>
      </c>
    </row>
    <row r="15" spans="1:9" s="109" customFormat="1" ht="13">
      <c r="A15" s="2577" t="s">
        <v>353</v>
      </c>
      <c r="B15" s="2578" t="s">
        <v>1447</v>
      </c>
      <c r="C15" s="2561">
        <f ca="1">ROUND(D15*E15/10000,0)</f>
        <v>0</v>
      </c>
      <c r="D15" s="2561">
        <f ca="1">IF(B1="",'数据-汇总表'!E5,IF(INDIRECT("'数据-取费表'!c"&amp;$G$1)="住宅",INDIRECT("'数据-取费表'!k"&amp;$G$1),0))</f>
        <v>0</v>
      </c>
      <c r="E15" s="2561">
        <f>'数据-取费表'!B27</f>
        <v>0</v>
      </c>
      <c r="F15" s="2553"/>
      <c r="G15" s="1339" t="s">
        <v>4129</v>
      </c>
      <c r="H15" s="4246">
        <f ca="1">C16</f>
        <v>240</v>
      </c>
      <c r="I15" s="1340" t="s">
        <v>1448</v>
      </c>
    </row>
    <row r="16" spans="1:9" s="109" customFormat="1" ht="13">
      <c r="A16" s="2577" t="s">
        <v>354</v>
      </c>
      <c r="B16" s="2578" t="s">
        <v>1449</v>
      </c>
      <c r="C16" s="2561">
        <f ca="1">ROUND(D16*E16/10000,0)</f>
        <v>240</v>
      </c>
      <c r="D16" s="2561">
        <f ca="1">IF(B1="",'数据-汇总表'!E6,IF(INDIRECT("'数据-取费表'!c"&amp;$G$1)="住宅",INDIRECT("'数据-取费表'!s"&amp;$G$1),INDIRECT("'数据-取费表'!k"&amp;$G$1)+INDIRECT("'数据-取费表'!s"&amp;$G$1)))</f>
        <v>12000.23</v>
      </c>
      <c r="E16" s="2561">
        <f>'数据-取费表'!B28</f>
        <v>200</v>
      </c>
      <c r="F16" s="2553"/>
      <c r="G16" s="121"/>
    </row>
    <row r="17" spans="1:7" s="109" customFormat="1" ht="13">
      <c r="A17" s="2505" t="s">
        <v>3290</v>
      </c>
      <c r="B17" s="2579" t="s">
        <v>3295</v>
      </c>
      <c r="C17" s="2521" t="str">
        <f>IF(G17="已包含在土地取得成本中","0",ROUND(D17*E17/10000,0))</f>
        <v>0</v>
      </c>
      <c r="D17" s="2562">
        <f ca="1">D15+D16</f>
        <v>12000.23</v>
      </c>
      <c r="E17" s="2562">
        <f>'数据-取费表'!B31</f>
        <v>375</v>
      </c>
      <c r="F17" s="2529"/>
      <c r="G17" s="1338" t="s">
        <v>4128</v>
      </c>
    </row>
    <row r="18" spans="1:7" s="109" customFormat="1" ht="13">
      <c r="A18" s="2580" t="s">
        <v>3291</v>
      </c>
      <c r="B18" s="2579" t="s">
        <v>1472</v>
      </c>
      <c r="C18" s="2521">
        <f ca="1">ROUND(E18*D18*F10/10000,0)</f>
        <v>360</v>
      </c>
      <c r="D18" s="2521">
        <f ca="1">D17</f>
        <v>12000.23</v>
      </c>
      <c r="E18" s="2521">
        <f>'数据-取费表'!B35</f>
        <v>300</v>
      </c>
      <c r="F18" s="2532"/>
      <c r="G18" s="156" t="str">
        <f ca="1">IF(F10=100%,"","按工程进度计取")</f>
        <v/>
      </c>
    </row>
    <row r="19" spans="1:7" s="109" customFormat="1" ht="13">
      <c r="A19" s="2574" t="s">
        <v>352</v>
      </c>
      <c r="B19" s="2575" t="s">
        <v>3326</v>
      </c>
      <c r="C19" s="2521">
        <f ca="1">ROUND(C10*F19,0)</f>
        <v>53</v>
      </c>
      <c r="D19" s="144"/>
      <c r="E19" s="144"/>
      <c r="F19" s="2532">
        <f>'数据-取费表'!B36</f>
        <v>0.01</v>
      </c>
      <c r="G19" s="156" t="s">
        <v>1469</v>
      </c>
    </row>
    <row r="20" spans="1:7" s="109" customFormat="1" ht="13">
      <c r="A20" s="2574" t="s">
        <v>3292</v>
      </c>
      <c r="B20" s="2575" t="s">
        <v>3327</v>
      </c>
      <c r="C20" s="2521">
        <f ca="1">ROUND(C10*F20,0)</f>
        <v>0</v>
      </c>
      <c r="D20" s="2563"/>
      <c r="E20" s="140"/>
      <c r="F20" s="2532">
        <f>'数据-取费表'!B37</f>
        <v>0</v>
      </c>
      <c r="G20" s="156" t="s">
        <v>1469</v>
      </c>
    </row>
    <row r="21" spans="1:7" s="2533" customFormat="1" ht="14">
      <c r="A21" s="2512" t="s">
        <v>3340</v>
      </c>
      <c r="B21" s="2571" t="s">
        <v>3341</v>
      </c>
      <c r="C21" s="2534">
        <f ca="1">ROUND((C6+C9)*F21,0)</f>
        <v>474</v>
      </c>
      <c r="D21" s="2535"/>
      <c r="E21" s="2535"/>
      <c r="F21" s="2539">
        <f>'数据-取费表'!B38</f>
        <v>0.02</v>
      </c>
      <c r="G21" s="2536" t="s">
        <v>3342</v>
      </c>
    </row>
    <row r="22" spans="1:7" s="2533" customFormat="1" ht="14">
      <c r="A22" s="2512" t="s">
        <v>3343</v>
      </c>
      <c r="B22" s="2571" t="s">
        <v>3344</v>
      </c>
      <c r="C22" s="2537" t="str">
        <f>F22&amp;"V"</f>
        <v>0.02V</v>
      </c>
      <c r="D22" s="296"/>
      <c r="E22" s="2535"/>
      <c r="F22" s="2539">
        <f>'数据-取费表'!B39</f>
        <v>0.02</v>
      </c>
      <c r="G22" s="3531" t="s">
        <v>3989</v>
      </c>
    </row>
    <row r="23" spans="1:7" s="2533" customFormat="1" ht="14">
      <c r="A23" s="2512" t="s">
        <v>3345</v>
      </c>
      <c r="B23" s="2573" t="s">
        <v>3296</v>
      </c>
      <c r="C23" s="2513" t="str">
        <f ca="1">SUM(C24:C25)&amp;"+"&amp;C26&amp;"V"</f>
        <v>1696+0.0008V</v>
      </c>
      <c r="D23" s="2538"/>
      <c r="E23" s="296"/>
      <c r="F23" s="2539">
        <f ca="1">'数据-取费表'!B41</f>
        <v>3.1899999999999998E-2</v>
      </c>
      <c r="G23" s="2536" t="str">
        <f>IF('数据-取费表'!B22&lt;=1,"单利计息","复利计息")</f>
        <v>复利计息</v>
      </c>
    </row>
    <row r="24" spans="1:7" s="109" customFormat="1" ht="13">
      <c r="A24" s="2581" t="s">
        <v>1451</v>
      </c>
      <c r="B24" s="2579" t="s">
        <v>1452</v>
      </c>
      <c r="C24" s="2527">
        <f ca="1">ROUND(IF('数据-取费表'!B22&lt;=1,C6*F23*'数据-取费表'!B23,C6*(POWER((1+F23),'数据-取费表'!B23)-1)),0)</f>
        <v>1427</v>
      </c>
      <c r="D24" s="133"/>
      <c r="E24" s="133"/>
      <c r="F24" s="2528"/>
      <c r="G24" s="3912" t="s">
        <v>3990</v>
      </c>
    </row>
    <row r="25" spans="1:7" s="109" customFormat="1" ht="13">
      <c r="A25" s="2581" t="s">
        <v>1453</v>
      </c>
      <c r="B25" s="2579" t="s">
        <v>3297</v>
      </c>
      <c r="C25" s="2527">
        <f ca="1">ROUND(IF('数据-取费表'!B22&lt;=1,(C9+C21)*F23*'数据-取费表'!B23/2,(C9+C21)*(POWER((1+F23),'数据-取费表'!B23/2)-1)),0)</f>
        <v>269</v>
      </c>
      <c r="D25" s="133"/>
      <c r="E25" s="133"/>
      <c r="F25" s="2528"/>
      <c r="G25" s="3912" t="s">
        <v>3991</v>
      </c>
    </row>
    <row r="26" spans="1:7" s="109" customFormat="1" ht="13">
      <c r="A26" s="2581" t="s">
        <v>348</v>
      </c>
      <c r="B26" s="2579" t="s">
        <v>1454</v>
      </c>
      <c r="C26" s="2524">
        <f ca="1">ROUND(IF('数据-取费表'!B22&lt;=1,F22*F23*'数据-取费表'!B23/2,F22*(POWER((1+F23),'数据-取费表'!B23/2)-1)),4)</f>
        <v>8.0000000000000004E-4</v>
      </c>
      <c r="D26" s="133"/>
      <c r="E26" s="136"/>
      <c r="F26" s="2528"/>
      <c r="G26" s="4226" t="s">
        <v>3992</v>
      </c>
    </row>
    <row r="27" spans="1:7" s="2533" customFormat="1" ht="14">
      <c r="A27" s="2512" t="s">
        <v>3346</v>
      </c>
      <c r="B27" s="2573" t="s">
        <v>3298</v>
      </c>
      <c r="C27" s="2540" t="str">
        <f ca="1">C28&amp;"+"&amp;C29&amp;"V"</f>
        <v>3629+0.003V</v>
      </c>
      <c r="D27" s="2538"/>
      <c r="E27" s="296"/>
      <c r="F27" s="2541">
        <f ca="1">IF(B1="",'数据-取费表'!Q16,INDIRECT("'数据-取费表'!q"&amp;$G$1))</f>
        <v>0.15</v>
      </c>
      <c r="G27" s="2536" t="s">
        <v>3997</v>
      </c>
    </row>
    <row r="28" spans="1:7" s="109" customFormat="1" ht="13">
      <c r="A28" s="2574" t="s">
        <v>344</v>
      </c>
      <c r="B28" s="2579" t="s">
        <v>1459</v>
      </c>
      <c r="C28" s="2506">
        <f ca="1">ROUND(C6*F27*'数据-取费表'!B23/'数据-取费表'!B22+(C9+C21)*F27,0)</f>
        <v>3629</v>
      </c>
      <c r="D28" s="130"/>
      <c r="E28" s="131"/>
      <c r="F28" s="2529"/>
      <c r="G28" s="3031" t="str">
        <f ca="1">IF(F10=100%,"","其中：土地取得成本产生的利润按已建工期计算")</f>
        <v/>
      </c>
    </row>
    <row r="29" spans="1:7" s="109" customFormat="1" ht="13">
      <c r="A29" s="2574" t="s">
        <v>345</v>
      </c>
      <c r="B29" s="2579" t="s">
        <v>1460</v>
      </c>
      <c r="C29" s="2524">
        <f ca="1">ROUND(F22*F27,4)</f>
        <v>3.0000000000000001E-3</v>
      </c>
      <c r="D29" s="130"/>
      <c r="E29" s="131"/>
      <c r="F29" s="2529"/>
      <c r="G29" s="142"/>
    </row>
    <row r="30" spans="1:7" s="2533" customFormat="1" ht="14">
      <c r="A30" s="2512" t="s">
        <v>3347</v>
      </c>
      <c r="B30" s="2571" t="s">
        <v>3348</v>
      </c>
      <c r="C30" s="2534">
        <v>0</v>
      </c>
      <c r="D30" s="296"/>
      <c r="E30" s="2514"/>
      <c r="F30" s="2539"/>
      <c r="G30" s="2542" t="s">
        <v>3299</v>
      </c>
    </row>
    <row r="31" spans="1:7" s="109" customFormat="1" ht="15.5">
      <c r="A31" s="2582">
        <v>2</v>
      </c>
      <c r="B31" s="2583" t="s">
        <v>3300</v>
      </c>
      <c r="C31" s="2525">
        <f ca="1">C57</f>
        <v>2242</v>
      </c>
      <c r="D31" s="2516"/>
      <c r="E31" s="2516"/>
      <c r="F31" s="2530">
        <f>IF('数据-取费表'!B24=0,'数据-取费表'!N16,1)</f>
        <v>0.7</v>
      </c>
      <c r="G31" s="2517" t="s">
        <v>3811</v>
      </c>
    </row>
    <row r="32" spans="1:7" s="109" customFormat="1" ht="15.5">
      <c r="A32" s="2504" t="s">
        <v>3301</v>
      </c>
      <c r="B32" s="2503" t="s">
        <v>3302</v>
      </c>
      <c r="C32" s="2525">
        <f ca="1">C5-C31</f>
        <v>27996</v>
      </c>
      <c r="D32" s="2516"/>
      <c r="E32" s="2516"/>
      <c r="F32" s="2515"/>
      <c r="G32" s="2518" t="s">
        <v>3333</v>
      </c>
    </row>
    <row r="33" spans="1:7" s="109" customFormat="1" ht="16" thickBot="1">
      <c r="A33" s="2584">
        <v>4</v>
      </c>
      <c r="B33" s="2585" t="s">
        <v>3334</v>
      </c>
      <c r="C33" s="2526">
        <f ca="1">ROUND(C32*(1+F33),0)</f>
        <v>30516</v>
      </c>
      <c r="D33" s="2519"/>
      <c r="E33" s="2519"/>
      <c r="F33" s="2531">
        <f>IF(G33="其他类型公式—成本价值×（1+9%）",9%,3%)</f>
        <v>0.09</v>
      </c>
      <c r="G33" s="3532" t="s">
        <v>3684</v>
      </c>
    </row>
    <row r="34" spans="1:7" s="118" customFormat="1" ht="13"/>
    <row r="35" spans="1:7" s="109" customFormat="1" ht="13"/>
    <row r="36" spans="1:7" s="109" customFormat="1" ht="13"/>
    <row r="37" spans="1:7" s="109" customFormat="1" ht="13"/>
    <row r="38" spans="1:7" ht="14.5" thickBot="1">
      <c r="A38" s="2770" t="s">
        <v>3303</v>
      </c>
      <c r="B38" s="2771"/>
      <c r="C38" s="2771"/>
      <c r="D38" s="2771"/>
      <c r="E38" s="2771"/>
      <c r="F38" s="2771"/>
      <c r="G38" s="2772"/>
    </row>
    <row r="39" spans="1:7" ht="14.5" thickBot="1">
      <c r="A39" s="2773" t="s">
        <v>3329</v>
      </c>
      <c r="B39" s="2774" t="s">
        <v>3330</v>
      </c>
      <c r="C39" s="2775" t="s">
        <v>3953</v>
      </c>
      <c r="D39" s="2776" t="s">
        <v>3453</v>
      </c>
      <c r="E39" s="2777" t="s">
        <v>3454</v>
      </c>
      <c r="F39" s="2777" t="s">
        <v>3455</v>
      </c>
      <c r="G39" s="2778" t="s">
        <v>3331</v>
      </c>
    </row>
    <row r="40" spans="1:7" ht="14">
      <c r="A40" s="2631" t="s">
        <v>3456</v>
      </c>
      <c r="B40" s="2780" t="s">
        <v>3304</v>
      </c>
      <c r="C40" s="2781">
        <f ca="1">SUM(C41:C46)</f>
        <v>6010</v>
      </c>
      <c r="D40" s="2779"/>
      <c r="E40" s="2779"/>
      <c r="F40" s="2779"/>
      <c r="G40" s="3984"/>
    </row>
    <row r="41" spans="1:7" ht="15.5">
      <c r="A41" s="2566" t="s">
        <v>3305</v>
      </c>
      <c r="B41" s="2630" t="str">
        <f t="shared" ref="B41:C43" si="0">B10</f>
        <v xml:space="preserve">  建安费用</v>
      </c>
      <c r="C41" s="2501">
        <f t="shared" ca="1" si="0"/>
        <v>5280</v>
      </c>
      <c r="D41" s="2496"/>
      <c r="E41" s="2496"/>
      <c r="F41" s="2497"/>
      <c r="G41" s="3985"/>
    </row>
    <row r="42" spans="1:7" ht="15.5">
      <c r="A42" s="2566" t="s">
        <v>3306</v>
      </c>
      <c r="B42" s="2630" t="str">
        <f t="shared" si="0"/>
        <v xml:space="preserve">  前期费用</v>
      </c>
      <c r="C42" s="2501">
        <f t="shared" ca="1" si="0"/>
        <v>317</v>
      </c>
      <c r="D42" s="2496"/>
      <c r="E42" s="2496"/>
      <c r="F42" s="2497"/>
      <c r="G42" s="3985"/>
    </row>
    <row r="43" spans="1:7" ht="15.5">
      <c r="A43" s="2566" t="s">
        <v>3370</v>
      </c>
      <c r="B43" s="2570" t="str">
        <f t="shared" si="0"/>
        <v xml:space="preserve">  公共配套设施费用</v>
      </c>
      <c r="C43" s="2501">
        <f t="shared" ca="1" si="0"/>
        <v>0</v>
      </c>
      <c r="D43" s="2496"/>
      <c r="E43" s="2496"/>
      <c r="F43" s="2497"/>
      <c r="G43" s="3985"/>
    </row>
    <row r="44" spans="1:7" ht="15.5">
      <c r="A44" s="2566" t="s">
        <v>3288</v>
      </c>
      <c r="B44" s="2570" t="str">
        <f>B18</f>
        <v>红线内市政费用</v>
      </c>
      <c r="C44" s="2501">
        <f ca="1">C18</f>
        <v>360</v>
      </c>
      <c r="D44" s="2496"/>
      <c r="E44" s="2496"/>
      <c r="F44" s="2497"/>
      <c r="G44" s="3985"/>
    </row>
    <row r="45" spans="1:7" ht="15.5">
      <c r="A45" s="2581" t="s">
        <v>3307</v>
      </c>
      <c r="B45" s="2576" t="str">
        <f>B19</f>
        <v xml:space="preserve">  其他工程费</v>
      </c>
      <c r="C45" s="2506">
        <f ca="1">C19</f>
        <v>53</v>
      </c>
      <c r="D45" s="2629"/>
      <c r="E45" s="2629"/>
      <c r="F45" s="2509"/>
      <c r="G45" s="3986"/>
    </row>
    <row r="46" spans="1:7" ht="15.5">
      <c r="A46" s="2581" t="s">
        <v>3369</v>
      </c>
      <c r="B46" s="2576" t="s">
        <v>3308</v>
      </c>
      <c r="C46" s="2506">
        <f ca="1">C20</f>
        <v>0</v>
      </c>
      <c r="D46" s="2629"/>
      <c r="E46" s="2629"/>
      <c r="F46" s="2509"/>
      <c r="G46" s="3986"/>
    </row>
    <row r="47" spans="1:7" ht="14">
      <c r="A47" s="2631" t="s">
        <v>3457</v>
      </c>
      <c r="B47" s="2632" t="s">
        <v>3458</v>
      </c>
      <c r="C47" s="2633">
        <f ca="1">ROUND(C40*F47,0)</f>
        <v>120</v>
      </c>
      <c r="D47" s="2634"/>
      <c r="E47" s="2634"/>
      <c r="F47" s="2635">
        <f>F21</f>
        <v>0.02</v>
      </c>
      <c r="G47" s="2636" t="s">
        <v>3459</v>
      </c>
    </row>
    <row r="48" spans="1:7" ht="14">
      <c r="A48" s="2631" t="s">
        <v>3460</v>
      </c>
      <c r="B48" s="2632" t="s">
        <v>3461</v>
      </c>
      <c r="C48" s="2637" t="str">
        <f>F48&amp;"V建1"</f>
        <v>0.02V建1</v>
      </c>
      <c r="D48" s="2634"/>
      <c r="E48" s="2634"/>
      <c r="F48" s="2635">
        <f>F22</f>
        <v>0.02</v>
      </c>
      <c r="G48" s="4227" t="s">
        <v>3993</v>
      </c>
    </row>
    <row r="49" spans="1:7" ht="14">
      <c r="A49" s="2631" t="s">
        <v>3462</v>
      </c>
      <c r="B49" s="2638" t="s">
        <v>3368</v>
      </c>
      <c r="C49" s="2534" t="str">
        <f ca="1">C50&amp;"+"&amp;C51&amp;"V建1"</f>
        <v>245+0.0008V建1</v>
      </c>
      <c r="D49" s="296"/>
      <c r="E49" s="296"/>
      <c r="F49" s="2647">
        <f ca="1">F23</f>
        <v>3.1899999999999998E-2</v>
      </c>
      <c r="G49" s="3987" t="str">
        <f>IF('数据-取费表'!B22&lt;=1,"单利计息","复利计息")</f>
        <v>复利计息</v>
      </c>
    </row>
    <row r="50" spans="1:7" ht="13">
      <c r="A50" s="2566" t="s">
        <v>3305</v>
      </c>
      <c r="B50" s="2569" t="s">
        <v>3372</v>
      </c>
      <c r="C50" s="2650">
        <f ca="1">ROUND(IF('数据-取费表'!B22&lt;=1,(C40+C47)*F49*'数据-取费表'!B22/2,(C40+C47)*(POWER((1+F49),'数据-取费表'!B22/2)-1)),0)</f>
        <v>245</v>
      </c>
      <c r="D50" s="1011"/>
      <c r="E50" s="1011"/>
      <c r="F50" s="994"/>
      <c r="G50" s="4501" t="str">
        <f ca="1">IF(F10=100%,"建设期均匀投入","已建工期均匀投入")</f>
        <v>建设期均匀投入</v>
      </c>
    </row>
    <row r="51" spans="1:7" ht="13">
      <c r="A51" s="2566" t="s">
        <v>3306</v>
      </c>
      <c r="B51" s="2570" t="s">
        <v>3311</v>
      </c>
      <c r="C51" s="2651">
        <f ca="1">ROUND(IF('数据-取费表'!B22&lt;=1,F48*F23*'数据-取费表'!B22/2,F48*(POWER((1+F23),'数据-取费表'!B22/2)-1)),4)</f>
        <v>8.0000000000000004E-4</v>
      </c>
      <c r="D51" s="1011"/>
      <c r="E51" s="1011"/>
      <c r="F51" s="994"/>
      <c r="G51" s="4502"/>
    </row>
    <row r="52" spans="1:7" ht="14.5">
      <c r="A52" s="2631" t="s">
        <v>3463</v>
      </c>
      <c r="B52" s="2640" t="s">
        <v>3312</v>
      </c>
      <c r="C52" s="2641" t="str">
        <f ca="1">C53&amp;"+"&amp;C54&amp;"V建1"</f>
        <v>920+0.003V建1</v>
      </c>
      <c r="D52" s="2642"/>
      <c r="E52" s="2634"/>
      <c r="F52" s="2643">
        <f ca="1">F27</f>
        <v>0.15</v>
      </c>
      <c r="G52" s="2644" t="s">
        <v>3464</v>
      </c>
    </row>
    <row r="53" spans="1:7" ht="13">
      <c r="A53" s="2566" t="s">
        <v>3309</v>
      </c>
      <c r="B53" s="2569" t="s">
        <v>3313</v>
      </c>
      <c r="C53" s="2501">
        <f ca="1">ROUND((C40+C47)*F27,0)</f>
        <v>920</v>
      </c>
      <c r="D53" s="2502"/>
      <c r="E53" s="2498"/>
      <c r="F53" s="2499"/>
      <c r="G53" s="2500"/>
    </row>
    <row r="54" spans="1:7" ht="13">
      <c r="A54" s="2566" t="s">
        <v>3310</v>
      </c>
      <c r="B54" s="2569" t="s">
        <v>3314</v>
      </c>
      <c r="C54" s="2565">
        <f ca="1">ROUND(F48*F27,4)</f>
        <v>3.0000000000000001E-3</v>
      </c>
      <c r="D54" s="2502"/>
      <c r="E54" s="2498"/>
      <c r="F54" s="2499"/>
      <c r="G54" s="2500"/>
    </row>
    <row r="55" spans="1:7" ht="14">
      <c r="A55" s="2512" t="s">
        <v>3465</v>
      </c>
      <c r="B55" s="2649" t="s">
        <v>3466</v>
      </c>
      <c r="C55" s="3988">
        <v>0</v>
      </c>
      <c r="D55" s="2538"/>
      <c r="E55" s="296"/>
      <c r="F55" s="2639"/>
      <c r="G55" s="2646" t="s">
        <v>3317</v>
      </c>
    </row>
    <row r="56" spans="1:7" ht="17">
      <c r="A56" s="2512" t="s">
        <v>3470</v>
      </c>
      <c r="B56" s="2645" t="s">
        <v>3467</v>
      </c>
      <c r="C56" s="2534">
        <f ca="1">ROUND((C40+C47+C50+C53)/(1-F48-C51-C54),0)</f>
        <v>7473</v>
      </c>
      <c r="D56" s="296"/>
      <c r="E56" s="296"/>
      <c r="F56" s="2647"/>
      <c r="G56" s="2646" t="s">
        <v>3318</v>
      </c>
    </row>
    <row r="57" spans="1:7" ht="14">
      <c r="A57" s="2512" t="s">
        <v>3434</v>
      </c>
      <c r="B57" s="2648" t="s">
        <v>3315</v>
      </c>
      <c r="C57" s="2534">
        <f ca="1">ROUND(C56*(1-F57),0)</f>
        <v>2242</v>
      </c>
      <c r="D57" s="296"/>
      <c r="E57" s="296"/>
      <c r="F57" s="2647">
        <f>F31</f>
        <v>0.7</v>
      </c>
      <c r="G57" s="2646" t="s">
        <v>3319</v>
      </c>
    </row>
    <row r="58" spans="1:7" ht="17">
      <c r="A58" s="2512" t="s">
        <v>3468</v>
      </c>
      <c r="B58" s="2645" t="s">
        <v>3469</v>
      </c>
      <c r="C58" s="2534">
        <f ca="1">C56-C57</f>
        <v>5231</v>
      </c>
      <c r="D58" s="296"/>
      <c r="E58" s="296"/>
      <c r="F58" s="2647"/>
      <c r="G58" s="2646" t="s">
        <v>3320</v>
      </c>
    </row>
    <row r="59" spans="1:7" ht="14.5" thickBot="1">
      <c r="A59" s="3989" t="s">
        <v>3371</v>
      </c>
      <c r="B59" s="3990" t="s">
        <v>3316</v>
      </c>
      <c r="C59" s="3991">
        <f ca="1">ROUND(C58*(1+F59),0)</f>
        <v>5702</v>
      </c>
      <c r="D59" s="3992"/>
      <c r="E59" s="3992"/>
      <c r="F59" s="3993">
        <f>F33</f>
        <v>0.09</v>
      </c>
      <c r="G59" s="3994" t="s">
        <v>3994</v>
      </c>
    </row>
    <row r="60" spans="1:7" ht="15">
      <c r="A60" s="2494"/>
      <c r="B60" s="2495"/>
    </row>
    <row r="62" spans="1:7" ht="21" customHeight="1">
      <c r="B62" s="2564" t="s">
        <v>1498</v>
      </c>
      <c r="C62" s="166"/>
    </row>
    <row r="63" spans="1:7" ht="21" customHeight="1">
      <c r="B63" s="55" t="s">
        <v>787</v>
      </c>
      <c r="C63" s="4060">
        <f ca="1">1-C64</f>
        <v>0.81299999999999994</v>
      </c>
    </row>
    <row r="64" spans="1:7" ht="21" customHeight="1">
      <c r="B64" s="55" t="s">
        <v>788</v>
      </c>
      <c r="C64" s="4061">
        <f ca="1">ROUND(C58/C32,3)</f>
        <v>0.187</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G45" sqref="G45"/>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12000.230000000001</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3">
        <f>C30</f>
        <v>16952</v>
      </c>
      <c r="C2" s="1441" t="s">
        <v>1842</v>
      </c>
      <c r="D2" s="68" t="s">
        <v>1843</v>
      </c>
      <c r="E2" s="2468" t="s">
        <v>19</v>
      </c>
      <c r="F2" s="68" t="s">
        <v>1844</v>
      </c>
      <c r="G2" s="3541" t="str">
        <f>IF(E2="商业",项目基本情况!B37,IF(E2="办公",项目基本情况!C37,IF(E2="住宅",项目基本情况!D37,IF(E2="工业",项目基本情况!E37,项目基本情况!F37))))</f>
        <v>二级</v>
      </c>
      <c r="H2" s="68" t="s">
        <v>1845</v>
      </c>
      <c r="I2" s="3541" t="str">
        <f>IF(E2="商业",项目基本情况!B38,IF(E2="办公",项目基本情况!C38,IF(E2="住宅",项目基本情况!D38,IF(E2="工业",项目基本情况!E38,项目基本情况!F38))))</f>
        <v>Ⅱ—16</v>
      </c>
      <c r="J2" s="1437"/>
      <c r="K2" s="750"/>
      <c r="L2" s="1442" t="s">
        <v>1846</v>
      </c>
      <c r="M2" s="552">
        <f>SUMPRODUCT((区片价!B10:B29=I2)*(区片价!C3:G3=E2)*(区片价!C10:G29))</f>
        <v>29640</v>
      </c>
      <c r="N2" s="554">
        <f>SUMPRODUCT((因素修正幅度!B10:B29=I2)*(因素修正幅度!C3:G3=E2)*(因素修正幅度!C10:G29))</f>
        <v>9.6000000000000002E-2</v>
      </c>
      <c r="O2" s="750"/>
      <c r="P2" s="750"/>
      <c r="Q2" s="750"/>
      <c r="R2" s="802">
        <v>1</v>
      </c>
      <c r="S2" s="4163">
        <f>ROUND(SUMPRODUCT((B106:B110=R2)*(C105:N105=G2)*(C106:N110)),4)</f>
        <v>1.5206</v>
      </c>
      <c r="T2" s="4163">
        <f t="shared" ref="T2:T16" si="0">ROUND($C$5*$C$22*$C$23*$C$24*S2*$C$28,0)</f>
        <v>29110</v>
      </c>
      <c r="U2" s="4164"/>
      <c r="V2" s="4163">
        <f>ROUND(T2*U2/10000,0)</f>
        <v>0</v>
      </c>
      <c r="W2" s="804"/>
      <c r="X2" s="804"/>
      <c r="Y2" s="804"/>
      <c r="Z2" s="804"/>
      <c r="AA2" s="804"/>
      <c r="AB2" s="804"/>
      <c r="AC2" s="805"/>
      <c r="AD2" s="806"/>
      <c r="AE2" s="806"/>
      <c r="AF2" s="806"/>
      <c r="AG2" s="806"/>
      <c r="AH2" s="806"/>
      <c r="AI2" s="806"/>
      <c r="AJ2" s="807"/>
    </row>
    <row r="3" spans="1:36" ht="15.5">
      <c r="A3" s="98" t="s">
        <v>1847</v>
      </c>
      <c r="B3" s="2523">
        <f>ROUND(B2*10000/D1,0)</f>
        <v>14126</v>
      </c>
      <c r="C3" s="1441" t="s">
        <v>1848</v>
      </c>
      <c r="D3" s="68" t="s">
        <v>1849</v>
      </c>
      <c r="E3" s="2467" t="s">
        <v>3279</v>
      </c>
      <c r="F3" s="1443" t="s">
        <v>4115</v>
      </c>
      <c r="G3" s="4136">
        <f>IF(F3="宗地容积率",'数据-汇总表'!I4,IF(F3="估价对象容积率",'数据-汇总表'!I6,'数据-汇总表'!I7))</f>
        <v>9.17</v>
      </c>
      <c r="H3" s="68" t="s">
        <v>1850</v>
      </c>
      <c r="I3" s="4137"/>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1.2072000000000001</v>
      </c>
      <c r="T3" s="4163">
        <f t="shared" si="0"/>
        <v>23110</v>
      </c>
      <c r="U3" s="4164"/>
      <c r="V3" s="4163">
        <f t="shared" ref="V3:V16" si="1">ROUND(T3*U3/10000,0)</f>
        <v>0</v>
      </c>
      <c r="W3" s="804"/>
      <c r="X3" s="804"/>
      <c r="Y3" s="804"/>
      <c r="Z3" s="804"/>
      <c r="AA3" s="804"/>
      <c r="AB3" s="804"/>
      <c r="AC3" s="805"/>
      <c r="AD3" s="806"/>
      <c r="AE3" s="806"/>
      <c r="AF3" s="806"/>
      <c r="AG3" s="806"/>
      <c r="AH3" s="806"/>
      <c r="AI3" s="806"/>
      <c r="AJ3" s="807"/>
    </row>
    <row r="4" spans="1:36" ht="15.5">
      <c r="A4" s="3394" t="s">
        <v>3633</v>
      </c>
      <c r="B4" s="3393" t="e">
        <f>ROUND(B2*10000/F1,0)</f>
        <v>#DIV/0!</v>
      </c>
      <c r="C4" s="3392" t="s">
        <v>3634</v>
      </c>
      <c r="D4" s="3393" t="e">
        <f>ROUND(B2/(F1/666.67),0)</f>
        <v>#DIV/0!</v>
      </c>
      <c r="E4" s="3392" t="s">
        <v>3635</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1.0430999999999999</v>
      </c>
      <c r="T4" s="4163">
        <f t="shared" si="0"/>
        <v>19969</v>
      </c>
      <c r="U4" s="4164"/>
      <c r="V4" s="4163">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8">
        <f>ROUND(IF(E2="商业",C6*C7*C17+C20,(IF(E2="住宅",C6*C13*C17+C20,IF(E2="办公",C6*C12*C17+C20,C6+C20)))),0)</f>
        <v>29905</v>
      </c>
      <c r="D5" s="2924">
        <f>ROUND(C6*C17+C20,0)</f>
        <v>29609</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3">
        <f>ROUND(SUMPRODUCT((B106:B110=R5)*(C105:N105=G2)*(C106:N110)),4)</f>
        <v>0.94389999999999996</v>
      </c>
      <c r="T5" s="4163">
        <f t="shared" si="0"/>
        <v>18070</v>
      </c>
      <c r="U5" s="4164"/>
      <c r="V5" s="4163">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9">
        <f>SUMIF(L1:L12,G2,M1:M12)</f>
        <v>29640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0.89959999999999996</v>
      </c>
      <c r="T6" s="4163">
        <f t="shared" si="0"/>
        <v>17221</v>
      </c>
      <c r="U6" s="4164"/>
      <c r="V6" s="4163">
        <f t="shared" si="1"/>
        <v>0</v>
      </c>
      <c r="W6" s="804"/>
      <c r="X6" s="804"/>
      <c r="Y6" s="804"/>
      <c r="Z6" s="804"/>
      <c r="AA6" s="804"/>
      <c r="AB6" s="804"/>
      <c r="AC6" s="1450"/>
      <c r="AD6" s="1451"/>
      <c r="AE6" s="1451"/>
      <c r="AF6" s="1451"/>
      <c r="AG6" s="1451"/>
      <c r="AH6" s="1451"/>
      <c r="AI6" s="1451"/>
      <c r="AJ6" s="1452"/>
    </row>
    <row r="7" spans="1:36" ht="26.5" thickBot="1">
      <c r="A7" s="2397" t="s">
        <v>3126</v>
      </c>
      <c r="B7" s="1460" t="s">
        <v>1859</v>
      </c>
      <c r="C7" s="4130" t="e">
        <f>IF(C8="不临65条商业街",1,ROUND(1+(1.6*E8+1.2*E9+0.8*E10+0.4*E11)*C9,4))</f>
        <v>#DIV/0!</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f t="shared" si="0"/>
        <v>0</v>
      </c>
      <c r="U7" s="4164"/>
      <c r="V7" s="4163">
        <f t="shared" si="1"/>
        <v>0</v>
      </c>
      <c r="W7" s="910" t="s">
        <v>1862</v>
      </c>
      <c r="X7" s="4180" t="str">
        <f>G2</f>
        <v>二级</v>
      </c>
      <c r="Y7" s="803" t="s">
        <v>1863</v>
      </c>
      <c r="Z7" s="4182">
        <f>G3</f>
        <v>9.17</v>
      </c>
      <c r="AA7" s="804"/>
      <c r="AB7" s="804"/>
      <c r="AC7" s="805"/>
      <c r="AD7" s="806"/>
      <c r="AE7" s="806"/>
      <c r="AF7" s="806"/>
      <c r="AG7" s="806"/>
      <c r="AH7" s="806"/>
      <c r="AI7" s="806"/>
      <c r="AJ7" s="807"/>
    </row>
    <row r="8" spans="1:36" ht="15.5">
      <c r="A8" s="2394"/>
      <c r="B8" s="68" t="s">
        <v>1864</v>
      </c>
      <c r="C8" s="4131"/>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f t="shared" si="0"/>
        <v>0</v>
      </c>
      <c r="U8" s="4164"/>
      <c r="V8" s="4163">
        <f t="shared" si="1"/>
        <v>0</v>
      </c>
      <c r="W8" s="4689" t="s">
        <v>1867</v>
      </c>
      <c r="X8" s="469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4"/>
      <c r="T9" s="4163">
        <f t="shared" si="0"/>
        <v>0</v>
      </c>
      <c r="U9" s="4164"/>
      <c r="V9" s="4163">
        <f t="shared" si="1"/>
        <v>0</v>
      </c>
      <c r="W9" s="4691"/>
      <c r="X9" s="2442" t="s">
        <v>3155</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f t="shared" si="0"/>
        <v>0</v>
      </c>
      <c r="U10" s="4164"/>
      <c r="V10" s="4163">
        <f t="shared" si="1"/>
        <v>0</v>
      </c>
      <c r="W10" s="4691"/>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6" thickBot="1">
      <c r="A11" s="2396"/>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f t="shared" si="0"/>
        <v>0</v>
      </c>
      <c r="U11" s="4164"/>
      <c r="V11" s="4163">
        <f t="shared" si="1"/>
        <v>0</v>
      </c>
      <c r="W11" s="804"/>
      <c r="X11" s="804"/>
      <c r="Y11" s="804"/>
      <c r="Z11" s="804"/>
      <c r="AA11" s="804"/>
      <c r="AB11" s="804"/>
      <c r="AC11" s="805"/>
      <c r="AD11" s="2040"/>
      <c r="AE11" s="2040"/>
      <c r="AF11" s="2040"/>
      <c r="AG11" s="2040"/>
      <c r="AH11" s="2040"/>
      <c r="AI11" s="2040"/>
      <c r="AJ11" s="2041"/>
    </row>
    <row r="12" spans="1:36" ht="27" thickBot="1">
      <c r="A12" s="2397" t="s">
        <v>3127</v>
      </c>
      <c r="B12" s="2398" t="s">
        <v>3128</v>
      </c>
      <c r="C12" s="4138">
        <v>1.01</v>
      </c>
      <c r="D12" s="2399" t="s">
        <v>3129</v>
      </c>
      <c r="E12" s="2400" t="s">
        <v>3130</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f t="shared" si="0"/>
        <v>0</v>
      </c>
      <c r="U12" s="4164"/>
      <c r="V12" s="4163">
        <f t="shared" si="1"/>
        <v>0</v>
      </c>
      <c r="W12" s="804"/>
      <c r="X12" s="804"/>
      <c r="Y12" s="804"/>
      <c r="Z12" s="804"/>
      <c r="AA12" s="804"/>
      <c r="AB12" s="804"/>
      <c r="AC12" s="805"/>
      <c r="AD12" s="2040"/>
      <c r="AE12" s="2040"/>
      <c r="AF12" s="2040"/>
      <c r="AG12" s="2040"/>
      <c r="AH12" s="2040"/>
      <c r="AI12" s="2040"/>
      <c r="AJ12" s="2041"/>
    </row>
    <row r="13" spans="1:36" ht="26.5" thickBot="1">
      <c r="A13" s="2397" t="s">
        <v>3131</v>
      </c>
      <c r="B13" s="1473" t="s">
        <v>1889</v>
      </c>
      <c r="C13" s="4139">
        <f>ROUND(C16*D16*E16*F16*G16*H16*I16*J16,4)</f>
        <v>0</v>
      </c>
      <c r="D13" s="1474" t="s">
        <v>1890</v>
      </c>
      <c r="E13" s="1475"/>
      <c r="F13" s="1475"/>
      <c r="G13" s="1476"/>
      <c r="H13" s="1476"/>
      <c r="I13" s="1476"/>
      <c r="J13" s="1477"/>
      <c r="K13" s="750"/>
      <c r="L13" s="3"/>
      <c r="M13" s="4"/>
      <c r="N13" s="2395"/>
      <c r="O13" s="750"/>
      <c r="P13" s="750"/>
      <c r="Q13" s="750"/>
      <c r="R13" s="802">
        <v>12</v>
      </c>
      <c r="S13" s="4164"/>
      <c r="T13" s="4163">
        <f t="shared" si="0"/>
        <v>0</v>
      </c>
      <c r="U13" s="4164"/>
      <c r="V13" s="4163">
        <f t="shared" si="1"/>
        <v>0</v>
      </c>
      <c r="W13" s="804"/>
      <c r="X13" s="804"/>
      <c r="Y13" s="804"/>
      <c r="Z13" s="804"/>
      <c r="AA13" s="804"/>
      <c r="AB13" s="804"/>
      <c r="AC13" s="805"/>
      <c r="AD13" s="2040"/>
      <c r="AE13" s="2040"/>
      <c r="AF13" s="2040"/>
      <c r="AG13" s="2040"/>
      <c r="AH13" s="2040"/>
      <c r="AI13" s="2040"/>
      <c r="AJ13" s="2041"/>
    </row>
    <row r="14" spans="1:36" ht="26">
      <c r="A14" s="2393"/>
      <c r="B14" s="1478" t="s">
        <v>1892</v>
      </c>
      <c r="C14" s="1479" t="s">
        <v>1893</v>
      </c>
      <c r="D14" s="904" t="s">
        <v>1894</v>
      </c>
      <c r="E14" s="18" t="s">
        <v>1895</v>
      </c>
      <c r="F14" s="2404" t="s">
        <v>3132</v>
      </c>
      <c r="G14" s="2404" t="s">
        <v>3132</v>
      </c>
      <c r="H14" s="2404" t="s">
        <v>3132</v>
      </c>
      <c r="I14" s="2404" t="s">
        <v>3132</v>
      </c>
      <c r="J14" s="2404" t="s">
        <v>3132</v>
      </c>
      <c r="K14" s="750"/>
      <c r="L14" s="750"/>
      <c r="M14" s="750"/>
      <c r="N14" s="750"/>
      <c r="O14" s="750"/>
      <c r="P14" s="750"/>
      <c r="Q14" s="750"/>
      <c r="R14" s="802">
        <v>13</v>
      </c>
      <c r="S14" s="4164"/>
      <c r="T14" s="4163">
        <f t="shared" si="0"/>
        <v>0</v>
      </c>
      <c r="U14" s="4164"/>
      <c r="V14" s="4163">
        <f t="shared" si="1"/>
        <v>0</v>
      </c>
      <c r="W14" s="804"/>
      <c r="X14" s="804"/>
      <c r="Y14" s="804"/>
      <c r="Z14" s="804"/>
      <c r="AA14" s="804"/>
      <c r="AB14" s="804"/>
      <c r="AC14" s="805"/>
      <c r="AD14" s="2040"/>
      <c r="AE14" s="2040"/>
      <c r="AF14" s="2040"/>
      <c r="AG14" s="2040"/>
      <c r="AH14" s="2040"/>
      <c r="AI14" s="2040"/>
      <c r="AJ14" s="2041"/>
    </row>
    <row r="15" spans="1:36" ht="15.5">
      <c r="A15" s="2393"/>
      <c r="B15" s="1480"/>
      <c r="C15" s="1481"/>
      <c r="D15" s="1482"/>
      <c r="E15" s="1483"/>
      <c r="F15" s="1114" t="s">
        <v>3133</v>
      </c>
      <c r="G15" s="1522"/>
      <c r="H15" s="2405"/>
      <c r="I15" s="2406"/>
      <c r="J15" s="2407"/>
      <c r="K15" s="750"/>
      <c r="L15" s="750"/>
      <c r="M15" s="750"/>
      <c r="N15" s="750"/>
      <c r="O15" s="750"/>
      <c r="P15" s="750"/>
      <c r="Q15" s="750"/>
      <c r="R15" s="802">
        <v>14</v>
      </c>
      <c r="S15" s="4164"/>
      <c r="T15" s="4163">
        <f t="shared" si="0"/>
        <v>0</v>
      </c>
      <c r="U15" s="4164"/>
      <c r="V15" s="4163">
        <f t="shared" si="1"/>
        <v>0</v>
      </c>
      <c r="W15" s="804"/>
      <c r="X15" s="804"/>
      <c r="Y15" s="804"/>
      <c r="Z15" s="804"/>
      <c r="AA15" s="804"/>
      <c r="AB15" s="804"/>
      <c r="AC15" s="805"/>
      <c r="AD15" s="2040"/>
      <c r="AE15" s="2040"/>
      <c r="AF15" s="2040"/>
      <c r="AG15" s="2040"/>
      <c r="AH15" s="2040"/>
      <c r="AI15" s="2040"/>
      <c r="AJ15" s="2041"/>
    </row>
    <row r="16" spans="1:36" ht="16" thickBot="1">
      <c r="A16" s="2393"/>
      <c r="B16" s="2408"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f t="shared" si="0"/>
        <v>0</v>
      </c>
      <c r="U16" s="4164"/>
      <c r="V16" s="4163">
        <f t="shared" si="1"/>
        <v>0</v>
      </c>
      <c r="W16" s="804"/>
      <c r="X16" s="804"/>
      <c r="Y16" s="804"/>
      <c r="Z16" s="804"/>
      <c r="AA16" s="804"/>
      <c r="AB16" s="804"/>
      <c r="AC16" s="805"/>
      <c r="AD16" s="2040"/>
      <c r="AE16" s="2040"/>
      <c r="AF16" s="2040"/>
      <c r="AG16" s="2040"/>
      <c r="AH16" s="2040"/>
      <c r="AI16" s="2040"/>
      <c r="AJ16" s="2041"/>
    </row>
    <row r="17" spans="1:37" ht="26">
      <c r="A17" s="2416" t="s">
        <v>3134</v>
      </c>
      <c r="B17" s="2409" t="s">
        <v>3135</v>
      </c>
      <c r="C17" s="4142">
        <f>ROUND(IF(OR(E2="工业",E2="公共服务"),1,IF(AND(E18=0,E19=0),1,IF(AND(E18=J24,E19=G19),0.8,IF(E19=0,1+E17*(-0.2),1+E17*G17*(-0.2))))),4)</f>
        <v>1</v>
      </c>
      <c r="D17" s="2410" t="s">
        <v>3136</v>
      </c>
      <c r="E17" s="2417">
        <f>ROUND(G18/I18,2)</f>
        <v>0</v>
      </c>
      <c r="F17" s="2410" t="s">
        <v>3139</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9"/>
      <c r="B18" s="1848"/>
      <c r="C18" s="4143"/>
      <c r="D18" s="2411" t="s">
        <v>3137</v>
      </c>
      <c r="E18" s="2592"/>
      <c r="F18" s="2412" t="s">
        <v>3140</v>
      </c>
      <c r="G18" s="2415">
        <f>ROUND(1-(1/(POWER(1+G24,E18))),4)</f>
        <v>0</v>
      </c>
      <c r="H18" s="2412" t="s">
        <v>3142</v>
      </c>
      <c r="I18" s="2415">
        <f>ROUND(1-(1/(POWER(1+G24,J24))),4)</f>
        <v>0.93120000000000003</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5" thickBot="1">
      <c r="A19" s="2421"/>
      <c r="B19" s="2422"/>
      <c r="C19" s="4144"/>
      <c r="D19" s="2423" t="s">
        <v>3138</v>
      </c>
      <c r="E19" s="2925"/>
      <c r="F19" s="2424" t="s">
        <v>3141</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
      <c r="A20" s="4692" t="s">
        <v>3143</v>
      </c>
      <c r="B20" s="66" t="s">
        <v>1901</v>
      </c>
      <c r="C20" s="4145">
        <f>ROUND(IF(F21="与级别开发程度一致",0,(G21-E21)/C21),0)</f>
        <v>-31</v>
      </c>
      <c r="D20" s="2426" t="s">
        <v>1905</v>
      </c>
      <c r="E20" s="2427"/>
      <c r="F20" s="4698" t="s">
        <v>1902</v>
      </c>
      <c r="G20" s="4699"/>
      <c r="H20" s="2413" t="s">
        <v>4117</v>
      </c>
      <c r="I20" s="2413" t="s">
        <v>4118</v>
      </c>
      <c r="J20" s="2414" t="s">
        <v>4119</v>
      </c>
      <c r="K20" s="1484" t="s">
        <v>4120</v>
      </c>
      <c r="L20" s="1484" t="s">
        <v>4121</v>
      </c>
      <c r="M20" s="1484" t="s">
        <v>4122</v>
      </c>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5.5" thickBot="1">
      <c r="A21" s="4693"/>
      <c r="B21" s="1589" t="s">
        <v>1904</v>
      </c>
      <c r="C21" s="4146">
        <f>IF(E3="M4科研用地",SUMPRODUCT((修正!A2:A7=E3)*(修正!B1:M1=G2)*(修正!B2:M7)),SUMPRODUCT((修正!A2:A7=E2)*(修正!B1:M1=G2)*(修正!B2:M7)))</f>
        <v>3.5</v>
      </c>
      <c r="D21" s="82" t="str">
        <f>IF(OR(G2="八级",G2="九级",G2="十级",G2="十一级",G2="十二级"),"五通一平","七通一平")</f>
        <v>七通一平</v>
      </c>
      <c r="E21" s="4166">
        <f>SUMPRODUCT((修正!B1:M1=G2)*(修正!B17:M17))</f>
        <v>375</v>
      </c>
      <c r="F21" s="1583" t="s">
        <v>4116</v>
      </c>
      <c r="G21" s="4173">
        <f>SUM(H21:O21)</f>
        <v>265</v>
      </c>
      <c r="H21" s="4174">
        <f>SUMPRODUCT((七通一平=H20)*(修正!B1:M1=G2)*(修正!B8:M16))</f>
        <v>80</v>
      </c>
      <c r="I21" s="4174">
        <f>SUMPRODUCT((七通一平=I20)*(修正!B1:M1=G2)*(修正!B8:M16))</f>
        <v>70</v>
      </c>
      <c r="J21" s="4175">
        <f>SUMPRODUCT((七通一平=J20)*(修正!B1:M1=G2)*(修正!B8:M16))</f>
        <v>20</v>
      </c>
      <c r="K21" s="4174">
        <f>SUMPRODUCT((七通一平=K20)*(修正!B1:M1=G2)*(修正!B8:M16))</f>
        <v>30</v>
      </c>
      <c r="L21" s="4174">
        <f>SUMPRODUCT((七通一平=L20)*(修正!B1:M1=G2)*(修正!B8:M16))</f>
        <v>45</v>
      </c>
      <c r="M21" s="4174">
        <f>SUMPRODUCT((七通一平=M20)*(修正!B1:M1=G2)*(修正!B8:M16))</f>
        <v>20</v>
      </c>
      <c r="N21" s="4174">
        <f>SUMPRODUCT((七通一平=N20)*(修正!B1:M1=G2)*(修正!B8:M16))</f>
        <v>0</v>
      </c>
      <c r="O21" s="4176">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4.5" thickBot="1">
      <c r="A22" s="1584" t="s">
        <v>357</v>
      </c>
      <c r="B22" s="1585" t="s">
        <v>1907</v>
      </c>
      <c r="C22" s="4147">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5.5"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491" t="s">
        <v>1909</v>
      </c>
      <c r="E23" s="4168">
        <v>44197</v>
      </c>
      <c r="F23" s="1491" t="s">
        <v>1910</v>
      </c>
      <c r="G23" s="4169">
        <f>'数据-取费表'!B2</f>
        <v>46090</v>
      </c>
      <c r="H23" s="2428" t="s">
        <v>4123</v>
      </c>
      <c r="I23" s="2429" t="str">
        <f>IF(H23="季度增幅（自定义）",SUMIF(N25:N28,E2,O25:O28),"")</f>
        <v/>
      </c>
      <c r="J23" s="2483" t="s">
        <v>4124</v>
      </c>
      <c r="K23" s="755"/>
      <c r="L23" s="1492" t="s">
        <v>1911</v>
      </c>
      <c r="M23" s="887">
        <f>ROUND(SUMIF(地价!B2:G2,E2,地价!B16:G16),0)</f>
        <v>350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9">
        <f>ROUND(POWER(1+G24,J24-I24)*(POWER(1+G24,I24)-1)/(POWER(1+G24,J24)-1),4)</f>
        <v>0.66110000000000002</v>
      </c>
      <c r="D24" s="1497" t="s">
        <v>1914</v>
      </c>
      <c r="E24" s="4167">
        <f>存贷款利率!E28/100</f>
        <v>4.3499999999999997E-2</v>
      </c>
      <c r="F24" s="1497" t="s">
        <v>1906</v>
      </c>
      <c r="G24" s="4170">
        <f>SUMIF(M30:Q30,E2,M33:Q33)</f>
        <v>5.5E-2</v>
      </c>
      <c r="H24" s="1497" t="s">
        <v>1915</v>
      </c>
      <c r="I24" s="4171">
        <f>SUMIF('数据-取费表'!C6:C15,E2,'数据-取费表'!F6:F15)/COUNTIF('数据-取费表'!C6:C15,E2)</f>
        <v>17.86</v>
      </c>
      <c r="J24" s="4172">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
      <c r="A25" s="1502" t="s">
        <v>360</v>
      </c>
      <c r="B25" s="1503" t="s">
        <v>4125</v>
      </c>
      <c r="C25" s="4150">
        <f>IF(B25="容积率修正",IF(G3&lt;10,D26,J26),C27)</f>
        <v>0.89119999999999999</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61">
        <f>IF(E26=G26,F26,IF(G3&lt;10,ROUND(F26+(H26-F26)*(G3-E26)/(G26-E26),4),"——"))</f>
        <v>0.89119999999999999</v>
      </c>
      <c r="E26" s="4161">
        <f>ROUNDDOWN(G3,1)</f>
        <v>9.1</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4161">
        <f>ROUNDUP(G3,1)</f>
        <v>9.1999999999999993</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1507" t="s">
        <v>3145</v>
      </c>
      <c r="J26" s="4162"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1">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2">
        <f>SUMIF(A47:A101,E2,B47:B101)</f>
        <v>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3">
        <f>IF(B25="容积率修正",E33+SUM(I37:I42),SUM(V2:V16)+SUM(I37:I42))</f>
        <v>16952</v>
      </c>
      <c r="D30" s="3851" t="s">
        <v>3793</v>
      </c>
      <c r="E30" s="1437"/>
      <c r="F30" s="1520"/>
      <c r="G30" s="1437"/>
      <c r="H30" s="1437"/>
      <c r="I30" s="1437"/>
      <c r="J30" s="1521"/>
      <c r="K30" s="750"/>
      <c r="L30" s="2434" t="s">
        <v>1843</v>
      </c>
      <c r="M30" s="2435" t="s">
        <v>1897</v>
      </c>
      <c r="N30" s="2435" t="s">
        <v>1898</v>
      </c>
      <c r="O30" s="2435" t="s">
        <v>1899</v>
      </c>
      <c r="P30" s="2435" t="s">
        <v>1900</v>
      </c>
      <c r="Q30" s="2438"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4">
        <f>E34+SUM(I37:I42)</f>
        <v>273</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3">
        <f>ROUND(C5*C22*C23*C24*C25*C28,0)</f>
        <v>17061</v>
      </c>
      <c r="D33" s="4155">
        <f>'数据-汇总表'!F19</f>
        <v>9775.8700000000008</v>
      </c>
      <c r="E33" s="2610">
        <f>ROUND(C33*D33/10000,0)</f>
        <v>16679</v>
      </c>
      <c r="F33" s="2430" t="s">
        <v>3147</v>
      </c>
      <c r="G33" s="1534"/>
      <c r="H33" s="1534"/>
      <c r="I33" s="1534"/>
      <c r="J33" s="1535"/>
      <c r="K33" s="750"/>
      <c r="L33" s="2433" t="s">
        <v>3150</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6">
        <f>ROUND(IF(E2="工业",C33*M42,IF(B25="楼层修正",SUM(V2:V16)*M41*10000/D34,C33*M41)),0)</f>
        <v>4265</v>
      </c>
      <c r="D34" s="4157"/>
      <c r="E34" s="2610">
        <f>ROUND(IF(B25="楼层修正",SUM(V2:V16)*M40,C34*D34/10000),0)</f>
        <v>0</v>
      </c>
      <c r="F34" s="1538" t="s">
        <v>1939</v>
      </c>
      <c r="G34" s="1539"/>
      <c r="H34" s="1539"/>
      <c r="I34" s="1539"/>
      <c r="J34" s="1540"/>
      <c r="K34" s="750"/>
      <c r="L34" s="2433" t="s">
        <v>3151</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31"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4">
        <f ca="1">'数据-取费表'!B41</f>
        <v>3.1899999999999998E-2</v>
      </c>
      <c r="M36" s="2928">
        <f ca="1">ROUND($L$36*(1+M31),3)</f>
        <v>0.04</v>
      </c>
      <c r="N36" s="2928">
        <f ca="1">ROUND($L$36*(1+N31),3)</f>
        <v>3.7999999999999999E-2</v>
      </c>
      <c r="O36" s="2928">
        <f ca="1">ROUND($L$36*(1+O31),3)</f>
        <v>3.6999999999999998E-2</v>
      </c>
      <c r="P36" s="2928">
        <f ca="1">ROUND($L$36*(1+P31),3)</f>
        <v>3.5000000000000003E-2</v>
      </c>
      <c r="Q36" s="2928">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96"/>
      <c r="B37" s="4183" t="s">
        <v>1943</v>
      </c>
      <c r="C37" s="4153">
        <f>ROUND(D5*C22*C23*C24*C28*F37,0)</f>
        <v>13268</v>
      </c>
      <c r="D37" s="4155"/>
      <c r="E37" s="3088">
        <f>ROUND(C37*D37/10000,0)</f>
        <v>0</v>
      </c>
      <c r="F37" s="3063">
        <f>SUMIF(修正!A59:A70,G2,修正!B59:B70)</f>
        <v>0.7</v>
      </c>
      <c r="G37" s="3088">
        <f>ROUND(IF(E2="工业",C37*$M$42,C37*$M$41),0)</f>
        <v>3317</v>
      </c>
      <c r="H37" s="3063">
        <f>D37</f>
        <v>0</v>
      </c>
      <c r="I37" s="3088">
        <f>ROUND(G37*H37/10000,0)</f>
        <v>0</v>
      </c>
      <c r="J37" s="2184"/>
      <c r="K37" s="2440" t="s">
        <v>3153</v>
      </c>
      <c r="L37" s="2929">
        <f ca="1">L36+K38</f>
        <v>3.6899999999999995E-2</v>
      </c>
      <c r="M37" s="2928">
        <f ca="1">ROUND($L$37*(1+M31),3)</f>
        <v>4.5999999999999999E-2</v>
      </c>
      <c r="N37" s="2928">
        <f t="shared" ref="N37:Q37" ca="1" si="3">ROUND($L$37*(1+N31),3)</f>
        <v>4.3999999999999997E-2</v>
      </c>
      <c r="O37" s="2928">
        <f t="shared" ca="1" si="3"/>
        <v>4.2000000000000003E-2</v>
      </c>
      <c r="P37" s="2928">
        <f t="shared" ca="1" si="3"/>
        <v>4.1000000000000002E-2</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97"/>
      <c r="B38" s="3539" t="s">
        <v>1944</v>
      </c>
      <c r="C38" s="4153">
        <f>ROUND(D5*C22*C23*C24*C28*F38,0)</f>
        <v>7582</v>
      </c>
      <c r="D38" s="4155"/>
      <c r="E38" s="3088">
        <f t="shared" ref="E38:E42" si="4">ROUND(C38*D38/10000,0)</f>
        <v>0</v>
      </c>
      <c r="F38" s="3063">
        <f>SUMIF(修正!A59:A70,G2,修正!C59:C70)</f>
        <v>0.4</v>
      </c>
      <c r="G38" s="3088">
        <f>ROUND(IF(E2="工业",C38*$M$42,C38*$M$41),0)</f>
        <v>1896</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97"/>
      <c r="B39" s="3539" t="s">
        <v>3146</v>
      </c>
      <c r="C39" s="4153">
        <f>ROUND(D5*C22*C23*C24*C28*F39,0)</f>
        <v>5686</v>
      </c>
      <c r="D39" s="4155"/>
      <c r="E39" s="3088">
        <f t="shared" si="4"/>
        <v>0</v>
      </c>
      <c r="F39" s="3063">
        <f>SUMIF(修正!A59:A70,G2,修正!D59:D70)</f>
        <v>0.3</v>
      </c>
      <c r="G39" s="3088">
        <f>ROUND(IF(E2="工业",C39*$M$42,C39*$M$41),0)</f>
        <v>1422</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9" t="s">
        <v>1945</v>
      </c>
      <c r="C40" s="3088">
        <f>ROUND(D5*C22*C23*C24*C28*F40,0)</f>
        <v>5686</v>
      </c>
      <c r="D40" s="4155">
        <f>'数据-基础表'!K13</f>
        <v>1306.8499999999999</v>
      </c>
      <c r="E40" s="3088">
        <f t="shared" si="4"/>
        <v>743</v>
      </c>
      <c r="F40" s="4158">
        <f>SUMIF(修正!A59:A70,G2,修正!E59:E70)</f>
        <v>0.3</v>
      </c>
      <c r="G40" s="3088">
        <f>ROUND(IF(E2="工业",C40*$M$42,C40*$M$41),0)</f>
        <v>1422</v>
      </c>
      <c r="H40" s="3063">
        <f t="shared" si="5"/>
        <v>1306.8499999999999</v>
      </c>
      <c r="I40" s="3088">
        <f t="shared" si="6"/>
        <v>186</v>
      </c>
      <c r="J40" s="665"/>
      <c r="L40" s="1548" t="s">
        <v>1946</v>
      </c>
      <c r="M40" s="1549"/>
      <c r="Z40" s="751"/>
      <c r="AA40" s="751"/>
      <c r="AB40" s="751"/>
      <c r="AC40" s="751"/>
      <c r="AD40" s="751"/>
      <c r="AE40" s="751"/>
      <c r="AF40" s="751"/>
      <c r="AG40" s="751"/>
      <c r="AH40" s="751"/>
      <c r="AI40" s="751"/>
      <c r="AJ40" s="751"/>
    </row>
    <row r="41" spans="1:37" s="750" customFormat="1" ht="13">
      <c r="A41" s="1547"/>
      <c r="B41" s="3539" t="s">
        <v>1947</v>
      </c>
      <c r="C41" s="3088">
        <f>ROUND(D5*C22*C23*C44*C28*F41,0)</f>
        <v>5686</v>
      </c>
      <c r="D41" s="4155"/>
      <c r="E41" s="3088">
        <f t="shared" si="4"/>
        <v>0</v>
      </c>
      <c r="F41" s="4158">
        <f>SUMIF(修正!A59:A70,G2,修正!F59:F70)</f>
        <v>0.3</v>
      </c>
      <c r="G41" s="3088">
        <f>ROUND(IF(E2="工业",C41*$M$42,C41*$M$41),0)</f>
        <v>1422</v>
      </c>
      <c r="H41" s="3063">
        <f t="shared" si="5"/>
        <v>0</v>
      </c>
      <c r="I41" s="3088">
        <f t="shared" si="6"/>
        <v>0</v>
      </c>
      <c r="J41" s="665"/>
      <c r="L41" s="2441" t="s">
        <v>3154</v>
      </c>
      <c r="M41" s="1550">
        <v>0.25</v>
      </c>
      <c r="Z41" s="751"/>
      <c r="AA41" s="751"/>
      <c r="AB41" s="751"/>
      <c r="AC41" s="751"/>
      <c r="AD41" s="751"/>
      <c r="AE41" s="751"/>
      <c r="AF41" s="751"/>
      <c r="AG41" s="751"/>
      <c r="AH41" s="751"/>
      <c r="AI41" s="751"/>
      <c r="AJ41" s="751"/>
    </row>
    <row r="42" spans="1:37" s="750" customFormat="1" ht="13.5" thickBot="1">
      <c r="A42" s="1536"/>
      <c r="B42" s="4184" t="s">
        <v>1948</v>
      </c>
      <c r="C42" s="4156">
        <f>ROUND(D5*C22*C23*C44*C28*F42,0)</f>
        <v>3791</v>
      </c>
      <c r="D42" s="4157">
        <f>'数据-基础表'!M13</f>
        <v>917.51</v>
      </c>
      <c r="E42" s="4156">
        <f t="shared" si="4"/>
        <v>348</v>
      </c>
      <c r="F42" s="4159">
        <f>SUMIF(修正!A59:A70,G2,修正!G59:G70)</f>
        <v>0.2</v>
      </c>
      <c r="G42" s="4156">
        <f>ROUND(IF(E2="工业",C42*$M$42,C42*$M$41),0)</f>
        <v>948</v>
      </c>
      <c r="H42" s="4160">
        <f t="shared" si="5"/>
        <v>917.51</v>
      </c>
      <c r="I42" s="4156">
        <f t="shared" si="6"/>
        <v>87</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0.66110000000000002</v>
      </c>
      <c r="D44" s="69" t="s">
        <v>1906</v>
      </c>
      <c r="E44" s="1581">
        <f>G24</f>
        <v>5.5E-2</v>
      </c>
      <c r="F44" s="69" t="s">
        <v>1915</v>
      </c>
      <c r="G44" s="78">
        <f>项目基本情况!E15</f>
        <v>17.86</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6">
        <f t="shared" ref="D50:D58" si="7">SUMIF($J$49:$N$49,C50,J50:N50)</f>
        <v>0</v>
      </c>
      <c r="E50" s="4187">
        <f>ROUND(SUM(D50:D58),4)</f>
        <v>0</v>
      </c>
      <c r="F50" s="4195" t="str">
        <f>IF(E2="商业",SUMIF(L1:L12,G2,N1:N12),"——")</f>
        <v>——</v>
      </c>
      <c r="G50" s="4190"/>
      <c r="H50" s="4191" t="str">
        <f t="shared" ref="H50:H58" si="8">IFERROR(ROUNDDOWN($F$50*I50/2,4),"——")</f>
        <v>——</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6">
        <f t="shared" si="7"/>
        <v>0</v>
      </c>
      <c r="E51" s="4188"/>
      <c r="F51" s="1301"/>
      <c r="G51" s="4190"/>
      <c r="H51" s="4191" t="str">
        <f t="shared" si="8"/>
        <v>——</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39">
      <c r="A52" s="2443" t="s">
        <v>3156</v>
      </c>
      <c r="B52" s="905">
        <f>估价对象房地状况!C19</f>
        <v>0</v>
      </c>
      <c r="C52" s="1482"/>
      <c r="D52" s="4186">
        <f t="shared" si="7"/>
        <v>0</v>
      </c>
      <c r="E52" s="4188"/>
      <c r="F52" s="1301"/>
      <c r="G52" s="4190"/>
      <c r="H52" s="4191" t="str">
        <f t="shared" si="8"/>
        <v>——</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6">
        <f t="shared" si="7"/>
        <v>0</v>
      </c>
      <c r="E53" s="4188"/>
      <c r="F53" s="1301"/>
      <c r="G53" s="4190"/>
      <c r="H53" s="4191" t="str">
        <f t="shared" si="8"/>
        <v>——</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6">
        <f t="shared" si="7"/>
        <v>0</v>
      </c>
      <c r="E54" s="4188"/>
      <c r="F54" s="1301"/>
      <c r="G54" s="4190"/>
      <c r="H54" s="4191" t="str">
        <f t="shared" si="8"/>
        <v>——</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6">
        <f t="shared" si="7"/>
        <v>0</v>
      </c>
      <c r="E55" s="4188"/>
      <c r="F55" s="1301"/>
      <c r="G55" s="4190"/>
      <c r="H55" s="4191" t="str">
        <f t="shared" si="8"/>
        <v>——</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6">
        <f t="shared" si="7"/>
        <v>0</v>
      </c>
      <c r="E56" s="4188"/>
      <c r="F56" s="1301"/>
      <c r="G56" s="4190"/>
      <c r="H56" s="4191" t="str">
        <f t="shared" si="8"/>
        <v>——</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6">
        <f t="shared" si="7"/>
        <v>0</v>
      </c>
      <c r="E57" s="4188"/>
      <c r="F57" s="1301"/>
      <c r="G57" s="4190"/>
      <c r="H57" s="4191" t="str">
        <f t="shared" si="8"/>
        <v>——</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6">
        <f t="shared" si="7"/>
        <v>0</v>
      </c>
      <c r="E58" s="4189"/>
      <c r="F58" s="1301"/>
      <c r="G58" s="4190"/>
      <c r="H58" s="4191" t="str">
        <f t="shared" si="8"/>
        <v>——</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t="s">
        <v>3612</v>
      </c>
      <c r="D61" s="4186">
        <f t="shared" ref="D61:D69" si="12">SUMIF($J$60:$N$60,C61,J61:N61)</f>
        <v>0</v>
      </c>
      <c r="E61" s="4187">
        <f>ROUND(SUM(D61:D69),4)</f>
        <v>0</v>
      </c>
      <c r="F61" s="4195">
        <f>IF(E2="办公",SUMIF(L1:L12,G2,N1:N12),"——")</f>
        <v>9.6000000000000002E-2</v>
      </c>
      <c r="G61" s="4190"/>
      <c r="H61" s="4191">
        <f t="shared" ref="H61:H69" si="13">IFERROR(ROUNDDOWN($F$61*I61/2,4),"——")</f>
        <v>1.2E-2</v>
      </c>
      <c r="I61" s="4192">
        <v>0.25</v>
      </c>
      <c r="J61" s="4193">
        <f t="shared" ref="J61:J69" si="14">K61+$G61</f>
        <v>0</v>
      </c>
      <c r="K61" s="4193">
        <f t="shared" ref="K61:K69" si="15">$L61+$G61</f>
        <v>0</v>
      </c>
      <c r="L61" s="4193">
        <v>0</v>
      </c>
      <c r="M61" s="4193">
        <f t="shared" ref="M61:N69" si="16">L61-$G61</f>
        <v>0</v>
      </c>
      <c r="N61" s="4193">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t="s">
        <v>3612</v>
      </c>
      <c r="D62" s="4186">
        <f t="shared" si="12"/>
        <v>0</v>
      </c>
      <c r="E62" s="4188"/>
      <c r="F62" s="4195"/>
      <c r="G62" s="4190"/>
      <c r="H62" s="4191">
        <f t="shared" si="13"/>
        <v>1.24E-2</v>
      </c>
      <c r="I62" s="4192">
        <v>0.26</v>
      </c>
      <c r="J62" s="4193">
        <f t="shared" si="14"/>
        <v>0</v>
      </c>
      <c r="K62" s="4193">
        <f t="shared" si="15"/>
        <v>0</v>
      </c>
      <c r="L62" s="4193">
        <v>0</v>
      </c>
      <c r="M62" s="4193">
        <f t="shared" si="16"/>
        <v>0</v>
      </c>
      <c r="N62" s="4193">
        <f t="shared" si="16"/>
        <v>0</v>
      </c>
      <c r="AA62" s="751"/>
      <c r="AB62" s="751"/>
      <c r="AC62" s="751"/>
      <c r="AD62" s="751"/>
      <c r="AE62" s="751"/>
      <c r="AF62" s="751"/>
      <c r="AG62" s="751"/>
      <c r="AH62" s="751"/>
      <c r="AI62" s="751"/>
      <c r="AJ62" s="751"/>
      <c r="AK62" s="751"/>
    </row>
    <row r="63" spans="1:37" s="750" customFormat="1" ht="39">
      <c r="A63" s="2443" t="s">
        <v>3156</v>
      </c>
      <c r="B63" s="905">
        <f>估价对象房地状况!C19</f>
        <v>0</v>
      </c>
      <c r="C63" s="1482" t="s">
        <v>3612</v>
      </c>
      <c r="D63" s="4186">
        <f t="shared" si="12"/>
        <v>0</v>
      </c>
      <c r="E63" s="4188"/>
      <c r="F63" s="4195"/>
      <c r="G63" s="4190"/>
      <c r="H63" s="4191">
        <f t="shared" si="13"/>
        <v>5.1999999999999998E-3</v>
      </c>
      <c r="I63" s="4192">
        <v>0.11</v>
      </c>
      <c r="J63" s="4193">
        <f t="shared" si="14"/>
        <v>0</v>
      </c>
      <c r="K63" s="4193">
        <f t="shared" si="15"/>
        <v>0</v>
      </c>
      <c r="L63" s="4193">
        <v>0</v>
      </c>
      <c r="M63" s="4193">
        <f t="shared" si="16"/>
        <v>0</v>
      </c>
      <c r="N63" s="4193">
        <f t="shared" si="16"/>
        <v>0</v>
      </c>
      <c r="AA63" s="751"/>
      <c r="AB63" s="751"/>
      <c r="AC63" s="751"/>
      <c r="AD63" s="751"/>
      <c r="AE63" s="751"/>
      <c r="AF63" s="751"/>
      <c r="AG63" s="751"/>
      <c r="AH63" s="751"/>
      <c r="AI63" s="751"/>
      <c r="AJ63" s="751"/>
      <c r="AK63" s="751"/>
    </row>
    <row r="64" spans="1:37" s="750" customFormat="1" ht="39">
      <c r="A64" s="1560" t="s">
        <v>1961</v>
      </c>
      <c r="B64" s="1564" t="s">
        <v>1962</v>
      </c>
      <c r="C64" s="1482" t="s">
        <v>3612</v>
      </c>
      <c r="D64" s="4186">
        <f t="shared" si="12"/>
        <v>0</v>
      </c>
      <c r="E64" s="4188"/>
      <c r="F64" s="4195"/>
      <c r="G64" s="4190"/>
      <c r="H64" s="4191">
        <f t="shared" si="13"/>
        <v>2.3999999999999998E-3</v>
      </c>
      <c r="I64" s="4192">
        <v>0.05</v>
      </c>
      <c r="J64" s="4193">
        <f t="shared" si="14"/>
        <v>0</v>
      </c>
      <c r="K64" s="4193">
        <f t="shared" si="15"/>
        <v>0</v>
      </c>
      <c r="L64" s="4193">
        <v>0</v>
      </c>
      <c r="M64" s="4193">
        <f t="shared" si="16"/>
        <v>0</v>
      </c>
      <c r="N64" s="4193">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t="s">
        <v>3612</v>
      </c>
      <c r="D65" s="4186">
        <f t="shared" si="12"/>
        <v>0</v>
      </c>
      <c r="E65" s="4188"/>
      <c r="F65" s="4195"/>
      <c r="G65" s="4190"/>
      <c r="H65" s="4191">
        <f t="shared" si="13"/>
        <v>2.3999999999999998E-3</v>
      </c>
      <c r="I65" s="4192">
        <v>0.05</v>
      </c>
      <c r="J65" s="4193">
        <f t="shared" si="14"/>
        <v>0</v>
      </c>
      <c r="K65" s="4193">
        <f t="shared" si="15"/>
        <v>0</v>
      </c>
      <c r="L65" s="4193">
        <v>0</v>
      </c>
      <c r="M65" s="4193">
        <f t="shared" si="16"/>
        <v>0</v>
      </c>
      <c r="N65" s="4193">
        <f t="shared" si="16"/>
        <v>0</v>
      </c>
      <c r="AA65" s="751"/>
      <c r="AB65" s="751"/>
      <c r="AC65" s="751"/>
      <c r="AD65" s="751"/>
      <c r="AE65" s="751"/>
      <c r="AF65" s="751"/>
      <c r="AG65" s="751"/>
      <c r="AH65" s="751"/>
      <c r="AI65" s="751"/>
      <c r="AJ65" s="751"/>
      <c r="AK65" s="751"/>
    </row>
    <row r="66" spans="1:37" s="750" customFormat="1" ht="26">
      <c r="A66" s="1560" t="s">
        <v>1964</v>
      </c>
      <c r="B66" s="1565" t="s">
        <v>1965</v>
      </c>
      <c r="C66" s="1482" t="s">
        <v>3612</v>
      </c>
      <c r="D66" s="4186">
        <f t="shared" si="12"/>
        <v>0</v>
      </c>
      <c r="E66" s="4188"/>
      <c r="F66" s="4195"/>
      <c r="G66" s="4190"/>
      <c r="H66" s="4191">
        <f t="shared" si="13"/>
        <v>2.8E-3</v>
      </c>
      <c r="I66" s="4192">
        <v>0.06</v>
      </c>
      <c r="J66" s="4193">
        <f t="shared" si="14"/>
        <v>0</v>
      </c>
      <c r="K66" s="4193">
        <f t="shared" si="15"/>
        <v>0</v>
      </c>
      <c r="L66" s="4193">
        <v>0</v>
      </c>
      <c r="M66" s="4193">
        <f t="shared" si="16"/>
        <v>0</v>
      </c>
      <c r="N66" s="4193">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t="s">
        <v>3612</v>
      </c>
      <c r="D67" s="4186">
        <f t="shared" si="12"/>
        <v>0</v>
      </c>
      <c r="E67" s="4188"/>
      <c r="F67" s="4195"/>
      <c r="G67" s="4190"/>
      <c r="H67" s="4191">
        <f t="shared" si="13"/>
        <v>2.8E-3</v>
      </c>
      <c r="I67" s="4192">
        <v>0.06</v>
      </c>
      <c r="J67" s="4193">
        <f t="shared" si="14"/>
        <v>0</v>
      </c>
      <c r="K67" s="4193">
        <f t="shared" si="15"/>
        <v>0</v>
      </c>
      <c r="L67" s="4193">
        <v>0</v>
      </c>
      <c r="M67" s="4193">
        <f t="shared" si="16"/>
        <v>0</v>
      </c>
      <c r="N67" s="4193">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t="s">
        <v>4114</v>
      </c>
      <c r="D68" s="4186">
        <f t="shared" si="12"/>
        <v>0</v>
      </c>
      <c r="E68" s="4188"/>
      <c r="F68" s="4195"/>
      <c r="G68" s="4190"/>
      <c r="H68" s="4191">
        <f t="shared" si="13"/>
        <v>4.3E-3</v>
      </c>
      <c r="I68" s="4192">
        <v>0.09</v>
      </c>
      <c r="J68" s="4193">
        <f t="shared" si="14"/>
        <v>0</v>
      </c>
      <c r="K68" s="4193">
        <f t="shared" si="15"/>
        <v>0</v>
      </c>
      <c r="L68" s="4193">
        <v>0</v>
      </c>
      <c r="M68" s="4193">
        <f t="shared" si="16"/>
        <v>0</v>
      </c>
      <c r="N68" s="4193">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t="s">
        <v>3612</v>
      </c>
      <c r="D69" s="4186">
        <f t="shared" si="12"/>
        <v>0</v>
      </c>
      <c r="E69" s="4189"/>
      <c r="F69" s="4195"/>
      <c r="G69" s="4190"/>
      <c r="H69" s="4191">
        <f t="shared" si="13"/>
        <v>3.3E-3</v>
      </c>
      <c r="I69" s="4194">
        <v>7.0000000000000007E-2</v>
      </c>
      <c r="J69" s="4193">
        <f t="shared" si="14"/>
        <v>0</v>
      </c>
      <c r="K69" s="4193">
        <f t="shared" si="15"/>
        <v>0</v>
      </c>
      <c r="L69" s="4193">
        <v>0</v>
      </c>
      <c r="M69" s="4193">
        <f t="shared" si="16"/>
        <v>0</v>
      </c>
      <c r="N69" s="4193">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6">
        <f t="shared" ref="D72:D80" si="17">SUMIF($J$71:$N$71,C72,J72:N72)</f>
        <v>0</v>
      </c>
      <c r="E72" s="4187">
        <f>ROUND(SUM(D72:D80),4)</f>
        <v>0</v>
      </c>
      <c r="F72" s="4195" t="str">
        <f>IF(E2="住宅",SUMIF(L1:L12,G2,N1:N12),"——")</f>
        <v>——</v>
      </c>
      <c r="G72" s="4190"/>
      <c r="H72" s="4191" t="str">
        <f t="shared" ref="H72:H80" si="18">IFERROR(ROUNDDOWN($F$72*I72/2,4),"——")</f>
        <v>——</v>
      </c>
      <c r="I72" s="4192">
        <v>0.2</v>
      </c>
      <c r="J72" s="4193">
        <f t="shared" ref="J72:J80" si="19">K72+$G72</f>
        <v>0</v>
      </c>
      <c r="K72" s="4193">
        <f t="shared" ref="K72:K80" si="20">$L72+$G72</f>
        <v>0</v>
      </c>
      <c r="L72" s="4193">
        <v>0</v>
      </c>
      <c r="M72" s="4193">
        <f t="shared" ref="M72:N80" si="21">L72-$G72</f>
        <v>0</v>
      </c>
      <c r="N72" s="4193">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6">
        <f t="shared" si="17"/>
        <v>0</v>
      </c>
      <c r="E73" s="4188"/>
      <c r="F73" s="4195"/>
      <c r="G73" s="4190"/>
      <c r="H73" s="4191" t="str">
        <f t="shared" si="18"/>
        <v>——</v>
      </c>
      <c r="I73" s="4192">
        <v>0.26</v>
      </c>
      <c r="J73" s="4193">
        <f t="shared" si="19"/>
        <v>0</v>
      </c>
      <c r="K73" s="4193">
        <f t="shared" si="20"/>
        <v>0</v>
      </c>
      <c r="L73" s="4193">
        <v>0</v>
      </c>
      <c r="M73" s="4193">
        <f t="shared" si="21"/>
        <v>0</v>
      </c>
      <c r="N73" s="4193">
        <f t="shared" si="21"/>
        <v>0</v>
      </c>
      <c r="AA73" s="751"/>
      <c r="AB73" s="751"/>
      <c r="AC73" s="751"/>
      <c r="AD73" s="751"/>
      <c r="AE73" s="751"/>
      <c r="AF73" s="751"/>
      <c r="AG73" s="751"/>
      <c r="AH73" s="751"/>
      <c r="AI73" s="751"/>
      <c r="AJ73" s="751"/>
      <c r="AK73" s="751"/>
    </row>
    <row r="74" spans="1:37" s="1439" customFormat="1" ht="39">
      <c r="A74" s="2443" t="s">
        <v>3156</v>
      </c>
      <c r="B74" s="905">
        <f>估价对象房地状况!C19</f>
        <v>0</v>
      </c>
      <c r="C74" s="1482"/>
      <c r="D74" s="4186">
        <f t="shared" si="17"/>
        <v>0</v>
      </c>
      <c r="E74" s="4188"/>
      <c r="F74" s="4195"/>
      <c r="G74" s="4190"/>
      <c r="H74" s="4191" t="str">
        <f t="shared" si="18"/>
        <v>——</v>
      </c>
      <c r="I74" s="4192">
        <v>0.1</v>
      </c>
      <c r="J74" s="4193">
        <f t="shared" si="19"/>
        <v>0</v>
      </c>
      <c r="K74" s="4193">
        <f t="shared" si="20"/>
        <v>0</v>
      </c>
      <c r="L74" s="4193">
        <v>0</v>
      </c>
      <c r="M74" s="4193">
        <f t="shared" si="21"/>
        <v>0</v>
      </c>
      <c r="N74" s="4193">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6">
        <f t="shared" si="17"/>
        <v>0</v>
      </c>
      <c r="E75" s="4188"/>
      <c r="F75" s="4195"/>
      <c r="G75" s="4190"/>
      <c r="H75" s="4191" t="str">
        <f t="shared" si="18"/>
        <v>——</v>
      </c>
      <c r="I75" s="4192">
        <v>0.05</v>
      </c>
      <c r="J75" s="4193">
        <f t="shared" si="19"/>
        <v>0</v>
      </c>
      <c r="K75" s="4193">
        <f t="shared" si="20"/>
        <v>0</v>
      </c>
      <c r="L75" s="4193">
        <v>0</v>
      </c>
      <c r="M75" s="4193">
        <f t="shared" si="21"/>
        <v>0</v>
      </c>
      <c r="N75" s="4193">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6">
        <f t="shared" si="17"/>
        <v>0</v>
      </c>
      <c r="E76" s="4188"/>
      <c r="F76" s="4195"/>
      <c r="G76" s="4190"/>
      <c r="H76" s="4191" t="str">
        <f t="shared" si="18"/>
        <v>——</v>
      </c>
      <c r="I76" s="4192">
        <v>0.08</v>
      </c>
      <c r="J76" s="4193">
        <f t="shared" si="19"/>
        <v>0</v>
      </c>
      <c r="K76" s="4193">
        <f t="shared" si="20"/>
        <v>0</v>
      </c>
      <c r="L76" s="4193">
        <v>0</v>
      </c>
      <c r="M76" s="4193">
        <f t="shared" si="21"/>
        <v>0</v>
      </c>
      <c r="N76" s="4193">
        <f t="shared" si="21"/>
        <v>0</v>
      </c>
      <c r="O76" s="750"/>
      <c r="P76" s="750"/>
      <c r="Z76" s="1440"/>
      <c r="AA76" s="1490"/>
      <c r="AG76" s="752"/>
      <c r="AK76" s="1490"/>
    </row>
    <row r="77" spans="1:37" ht="26">
      <c r="A77" s="1560" t="s">
        <v>1967</v>
      </c>
      <c r="B77" s="886" t="str">
        <f>估价对象房地状况!C22</f>
        <v>估价对象所在区域基础设施水平</v>
      </c>
      <c r="C77" s="1482"/>
      <c r="D77" s="4186">
        <f t="shared" si="17"/>
        <v>0</v>
      </c>
      <c r="E77" s="4188"/>
      <c r="F77" s="4195"/>
      <c r="G77" s="4190"/>
      <c r="H77" s="4191" t="str">
        <f t="shared" si="18"/>
        <v>——</v>
      </c>
      <c r="I77" s="4192">
        <v>0.09</v>
      </c>
      <c r="J77" s="4193">
        <f t="shared" si="19"/>
        <v>0</v>
      </c>
      <c r="K77" s="4193">
        <f t="shared" si="20"/>
        <v>0</v>
      </c>
      <c r="L77" s="4193">
        <v>0</v>
      </c>
      <c r="M77" s="4193">
        <f t="shared" si="21"/>
        <v>0</v>
      </c>
      <c r="N77" s="4193">
        <f t="shared" si="21"/>
        <v>0</v>
      </c>
      <c r="O77" s="750"/>
      <c r="P77" s="750"/>
      <c r="Z77" s="1440"/>
      <c r="AA77" s="1490"/>
      <c r="AG77" s="752"/>
      <c r="AK77" s="1490"/>
    </row>
    <row r="78" spans="1:37" ht="26">
      <c r="A78" s="1560" t="s">
        <v>1964</v>
      </c>
      <c r="B78" s="1565" t="s">
        <v>1965</v>
      </c>
      <c r="C78" s="1482"/>
      <c r="D78" s="4186">
        <f t="shared" si="17"/>
        <v>0</v>
      </c>
      <c r="E78" s="4188"/>
      <c r="F78" s="4195"/>
      <c r="G78" s="4190"/>
      <c r="H78" s="4191" t="str">
        <f t="shared" si="18"/>
        <v>——</v>
      </c>
      <c r="I78" s="4192">
        <v>0.05</v>
      </c>
      <c r="J78" s="4193">
        <f t="shared" si="19"/>
        <v>0</v>
      </c>
      <c r="K78" s="4193">
        <f t="shared" si="20"/>
        <v>0</v>
      </c>
      <c r="L78" s="4193">
        <v>0</v>
      </c>
      <c r="M78" s="4193">
        <f t="shared" si="21"/>
        <v>0</v>
      </c>
      <c r="N78" s="4193">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6">
        <f t="shared" si="17"/>
        <v>0</v>
      </c>
      <c r="E79" s="4188"/>
      <c r="F79" s="4195"/>
      <c r="G79" s="4190"/>
      <c r="H79" s="4191" t="str">
        <f t="shared" si="18"/>
        <v>——</v>
      </c>
      <c r="I79" s="4192">
        <v>0.12</v>
      </c>
      <c r="J79" s="4193">
        <f t="shared" si="19"/>
        <v>0</v>
      </c>
      <c r="K79" s="4193">
        <f t="shared" si="20"/>
        <v>0</v>
      </c>
      <c r="L79" s="4193">
        <v>0</v>
      </c>
      <c r="M79" s="4193">
        <f t="shared" si="21"/>
        <v>0</v>
      </c>
      <c r="N79" s="4193">
        <f t="shared" si="21"/>
        <v>0</v>
      </c>
      <c r="Z79" s="1440"/>
      <c r="AA79" s="1490"/>
      <c r="AG79" s="752"/>
      <c r="AK79" s="1490"/>
    </row>
    <row r="80" spans="1:37" ht="26.5" thickBot="1">
      <c r="A80" s="1567" t="s">
        <v>1975</v>
      </c>
      <c r="B80" s="1571"/>
      <c r="C80" s="1482"/>
      <c r="D80" s="4186">
        <f t="shared" si="17"/>
        <v>0</v>
      </c>
      <c r="E80" s="4189"/>
      <c r="F80" s="4195"/>
      <c r="G80" s="4190"/>
      <c r="H80" s="4191" t="str">
        <f t="shared" si="18"/>
        <v>——</v>
      </c>
      <c r="I80" s="4194">
        <v>0.05</v>
      </c>
      <c r="J80" s="4193">
        <f t="shared" si="19"/>
        <v>0</v>
      </c>
      <c r="K80" s="4193">
        <f t="shared" si="20"/>
        <v>0</v>
      </c>
      <c r="L80" s="4193">
        <v>0</v>
      </c>
      <c r="M80" s="4193">
        <f t="shared" si="21"/>
        <v>0</v>
      </c>
      <c r="N80" s="4193">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6">
        <f t="shared" ref="D83:D90" si="22">SUMIF($J$82:$N$82,C83,J83:N83)</f>
        <v>0</v>
      </c>
      <c r="E83" s="4187">
        <f>ROUND(SUM(D83:D90),4)</f>
        <v>0</v>
      </c>
      <c r="F83" s="4195" t="str">
        <f>IF(E2="工业",SUMIF(L1:L12,G2,N1:N12),"——")</f>
        <v>——</v>
      </c>
      <c r="G83" s="4190"/>
      <c r="H83" s="4191" t="str">
        <f t="shared" ref="H83:H90" si="23">IFERROR(ROUNDDOWN($F$83*I83/2,4),"——")</f>
        <v>——</v>
      </c>
      <c r="I83" s="4192">
        <v>0.26</v>
      </c>
      <c r="J83" s="4193">
        <f t="shared" ref="J83:J90" si="24">K83+$G83</f>
        <v>0</v>
      </c>
      <c r="K83" s="4193">
        <f t="shared" ref="K83:K90" si="25">$L83+$G83</f>
        <v>0</v>
      </c>
      <c r="L83" s="4193">
        <v>0</v>
      </c>
      <c r="M83" s="4193">
        <f t="shared" ref="M83:N90" si="26">L83-$G83</f>
        <v>0</v>
      </c>
      <c r="N83" s="4193">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6">
        <f t="shared" si="22"/>
        <v>0</v>
      </c>
      <c r="E84" s="4188"/>
      <c r="F84" s="4195"/>
      <c r="G84" s="4190"/>
      <c r="H84" s="4191" t="str">
        <f t="shared" si="23"/>
        <v>——</v>
      </c>
      <c r="I84" s="4192">
        <v>0.3</v>
      </c>
      <c r="J84" s="4193">
        <f t="shared" si="24"/>
        <v>0</v>
      </c>
      <c r="K84" s="4193">
        <f t="shared" si="25"/>
        <v>0</v>
      </c>
      <c r="L84" s="4193">
        <v>0</v>
      </c>
      <c r="M84" s="4193">
        <f t="shared" si="26"/>
        <v>0</v>
      </c>
      <c r="N84" s="4193">
        <f t="shared" si="26"/>
        <v>0</v>
      </c>
      <c r="Z84" s="1440"/>
      <c r="AA84" s="1490"/>
      <c r="AG84" s="752"/>
      <c r="AK84" s="1490"/>
    </row>
    <row r="85" spans="1:37" ht="39">
      <c r="A85" s="2443" t="s">
        <v>3157</v>
      </c>
      <c r="B85" s="905">
        <f>估价对象房地状况!G17</f>
        <v>0</v>
      </c>
      <c r="C85" s="1482"/>
      <c r="D85" s="4186">
        <f t="shared" si="22"/>
        <v>0</v>
      </c>
      <c r="E85" s="4188"/>
      <c r="F85" s="4195"/>
      <c r="G85" s="4190"/>
      <c r="H85" s="4191" t="str">
        <f t="shared" si="23"/>
        <v>——</v>
      </c>
      <c r="I85" s="4192">
        <v>0.1</v>
      </c>
      <c r="J85" s="4193">
        <f t="shared" si="24"/>
        <v>0</v>
      </c>
      <c r="K85" s="4193">
        <f t="shared" si="25"/>
        <v>0</v>
      </c>
      <c r="L85" s="4193">
        <v>0</v>
      </c>
      <c r="M85" s="4193">
        <f t="shared" si="26"/>
        <v>0</v>
      </c>
      <c r="N85" s="4193">
        <f t="shared" si="26"/>
        <v>0</v>
      </c>
      <c r="Z85" s="1440"/>
      <c r="AA85" s="1490"/>
      <c r="AG85" s="752"/>
      <c r="AK85" s="1490"/>
    </row>
    <row r="86" spans="1:37" ht="14">
      <c r="A86" s="1560" t="s">
        <v>1974</v>
      </c>
      <c r="B86" s="905">
        <f>估价对象房地状况!G22</f>
        <v>0</v>
      </c>
      <c r="C86" s="1482"/>
      <c r="D86" s="4186">
        <f t="shared" si="22"/>
        <v>0</v>
      </c>
      <c r="E86" s="4188"/>
      <c r="F86" s="4195"/>
      <c r="G86" s="4190"/>
      <c r="H86" s="4191" t="str">
        <f t="shared" si="23"/>
        <v>——</v>
      </c>
      <c r="I86" s="4192">
        <v>0.05</v>
      </c>
      <c r="J86" s="4193">
        <f t="shared" si="24"/>
        <v>0</v>
      </c>
      <c r="K86" s="4193">
        <f t="shared" si="25"/>
        <v>0</v>
      </c>
      <c r="L86" s="4193">
        <v>0</v>
      </c>
      <c r="M86" s="4193">
        <f t="shared" si="26"/>
        <v>0</v>
      </c>
      <c r="N86" s="4193">
        <f t="shared" si="26"/>
        <v>0</v>
      </c>
      <c r="Z86" s="1440"/>
      <c r="AA86" s="1490"/>
      <c r="AG86" s="752"/>
      <c r="AK86" s="1490"/>
    </row>
    <row r="87" spans="1:37" ht="26">
      <c r="A87" s="1560" t="s">
        <v>1966</v>
      </c>
      <c r="B87" s="886" t="str">
        <f>估价对象房地状况!G19</f>
        <v>估价对象所在区域公共配套设施齐备情况</v>
      </c>
      <c r="C87" s="1482"/>
      <c r="D87" s="4186">
        <f t="shared" si="22"/>
        <v>0</v>
      </c>
      <c r="E87" s="4188"/>
      <c r="F87" s="4195"/>
      <c r="G87" s="4190"/>
      <c r="H87" s="4191" t="str">
        <f t="shared" si="23"/>
        <v>——</v>
      </c>
      <c r="I87" s="4192">
        <v>0.06</v>
      </c>
      <c r="J87" s="4193">
        <f t="shared" si="24"/>
        <v>0</v>
      </c>
      <c r="K87" s="4193">
        <f t="shared" si="25"/>
        <v>0</v>
      </c>
      <c r="L87" s="4193">
        <v>0</v>
      </c>
      <c r="M87" s="4193">
        <f t="shared" si="26"/>
        <v>0</v>
      </c>
      <c r="N87" s="4193">
        <f t="shared" si="26"/>
        <v>0</v>
      </c>
    </row>
    <row r="88" spans="1:37" ht="26">
      <c r="A88" s="1560" t="s">
        <v>1967</v>
      </c>
      <c r="B88" s="886" t="str">
        <f>估价对象房地状况!G20</f>
        <v>估价对象所在区域基础设施水平</v>
      </c>
      <c r="C88" s="1482"/>
      <c r="D88" s="4186">
        <f t="shared" si="22"/>
        <v>0</v>
      </c>
      <c r="E88" s="4188"/>
      <c r="F88" s="4195"/>
      <c r="G88" s="4190"/>
      <c r="H88" s="4191" t="str">
        <f t="shared" si="23"/>
        <v>——</v>
      </c>
      <c r="I88" s="4192">
        <v>0.12</v>
      </c>
      <c r="J88" s="4193">
        <f t="shared" si="24"/>
        <v>0</v>
      </c>
      <c r="K88" s="4193">
        <f t="shared" si="25"/>
        <v>0</v>
      </c>
      <c r="L88" s="4193">
        <v>0</v>
      </c>
      <c r="M88" s="4193">
        <f t="shared" si="26"/>
        <v>0</v>
      </c>
      <c r="N88" s="4193">
        <f t="shared" si="26"/>
        <v>0</v>
      </c>
    </row>
    <row r="89" spans="1:37" ht="26">
      <c r="A89" s="1560" t="s">
        <v>1964</v>
      </c>
      <c r="B89" s="1565" t="s">
        <v>1978</v>
      </c>
      <c r="C89" s="1482"/>
      <c r="D89" s="4186">
        <f t="shared" si="22"/>
        <v>0</v>
      </c>
      <c r="E89" s="4188"/>
      <c r="F89" s="4195"/>
      <c r="G89" s="4190"/>
      <c r="H89" s="4191" t="str">
        <f t="shared" si="23"/>
        <v>——</v>
      </c>
      <c r="I89" s="4192">
        <v>0.06</v>
      </c>
      <c r="J89" s="4193">
        <f t="shared" si="24"/>
        <v>0</v>
      </c>
      <c r="K89" s="4193">
        <f t="shared" si="25"/>
        <v>0</v>
      </c>
      <c r="L89" s="4193">
        <v>0</v>
      </c>
      <c r="M89" s="4193">
        <f t="shared" si="26"/>
        <v>0</v>
      </c>
      <c r="N89" s="4193">
        <f t="shared" si="26"/>
        <v>0</v>
      </c>
    </row>
    <row r="90" spans="1:37" ht="38" thickBot="1">
      <c r="A90" s="1567" t="s">
        <v>1979</v>
      </c>
      <c r="B90" s="1572" t="str">
        <f>估价对象房地状况!G18</f>
        <v>该园区内是否有污染型企业，绿化情况，卫生条件，整体环境状况判断</v>
      </c>
      <c r="C90" s="1482"/>
      <c r="D90" s="4186">
        <f t="shared" si="22"/>
        <v>0</v>
      </c>
      <c r="E90" s="4189"/>
      <c r="F90" s="4195"/>
      <c r="G90" s="4190"/>
      <c r="H90" s="4191" t="str">
        <f t="shared" si="23"/>
        <v>——</v>
      </c>
      <c r="I90" s="4194">
        <v>0.05</v>
      </c>
      <c r="J90" s="4193">
        <f t="shared" si="24"/>
        <v>0</v>
      </c>
      <c r="K90" s="4193">
        <f t="shared" si="25"/>
        <v>0</v>
      </c>
      <c r="L90" s="4193">
        <v>0</v>
      </c>
      <c r="M90" s="4193">
        <f t="shared" si="26"/>
        <v>0</v>
      </c>
      <c r="N90" s="4193">
        <f t="shared" si="26"/>
        <v>0</v>
      </c>
    </row>
    <row r="91" spans="1:37" ht="14">
      <c r="A91" s="2451" t="s">
        <v>2501</v>
      </c>
      <c r="B91" s="2452">
        <f>1+E93</f>
        <v>1</v>
      </c>
      <c r="C91" s="2445"/>
      <c r="D91" s="2446"/>
      <c r="E91" s="1301"/>
      <c r="F91" s="1301"/>
      <c r="G91" s="2447"/>
      <c r="H91" s="2448"/>
      <c r="I91" s="2449"/>
      <c r="J91" s="2450"/>
      <c r="K91" s="2450"/>
      <c r="L91" s="2450"/>
      <c r="M91" s="2450"/>
      <c r="N91" s="2450"/>
    </row>
    <row r="92" spans="1:37" ht="26">
      <c r="A92" s="2453" t="s">
        <v>3158</v>
      </c>
      <c r="B92" s="1848"/>
      <c r="C92" s="1848" t="s">
        <v>3167</v>
      </c>
      <c r="D92" s="1848" t="s">
        <v>3168</v>
      </c>
      <c r="E92" s="2432" t="s">
        <v>3169</v>
      </c>
      <c r="F92" s="2455" t="s">
        <v>3170</v>
      </c>
      <c r="G92" s="1848" t="s">
        <v>3171</v>
      </c>
      <c r="H92" s="2459" t="s">
        <v>3174</v>
      </c>
      <c r="I92" s="1848" t="s">
        <v>3175</v>
      </c>
      <c r="J92" s="1698" t="s">
        <v>3176</v>
      </c>
      <c r="K92" s="1698" t="s">
        <v>3177</v>
      </c>
      <c r="L92" s="1698" t="s">
        <v>3178</v>
      </c>
      <c r="M92" s="1698" t="s">
        <v>3179</v>
      </c>
      <c r="N92" s="1698" t="s">
        <v>3180</v>
      </c>
    </row>
    <row r="93" spans="1:37" ht="26">
      <c r="A93" s="2443" t="s">
        <v>3159</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7">K93+$G93</f>
        <v>0</v>
      </c>
      <c r="K93" s="4200">
        <f t="shared" ref="K93:K101" si="28">$L93+$G93</f>
        <v>0</v>
      </c>
      <c r="L93" s="4200">
        <v>0</v>
      </c>
      <c r="M93" s="4200">
        <f t="shared" ref="M93:N101" si="29">L93-$G93</f>
        <v>0</v>
      </c>
      <c r="N93" s="4200">
        <f t="shared" si="29"/>
        <v>0</v>
      </c>
    </row>
    <row r="94" spans="1:37" ht="50">
      <c r="A94" s="2453" t="s">
        <v>3160</v>
      </c>
      <c r="B94" s="2444" t="str">
        <f>估价对象房地状况!C18</f>
        <v>估价对象周边道路状况、公共交通通达情况、停车便捷程度，综合评价交通便捷度较好</v>
      </c>
      <c r="C94" s="1482"/>
      <c r="D94" s="4196">
        <f t="shared" ref="D94:D101" si="30">SUMIF($J$60:$N$60,C94,J94:N94)</f>
        <v>0</v>
      </c>
      <c r="E94" s="4201"/>
      <c r="F94" s="4195"/>
      <c r="G94" s="4198"/>
      <c r="H94" s="4199" t="str">
        <f>IFERROR(ROUNDDOWN($F$93*I94/2,4),"——")</f>
        <v>——</v>
      </c>
      <c r="I94" s="4192">
        <v>0.26</v>
      </c>
      <c r="J94" s="4200">
        <f t="shared" si="27"/>
        <v>0</v>
      </c>
      <c r="K94" s="4200">
        <f t="shared" si="28"/>
        <v>0</v>
      </c>
      <c r="L94" s="4200">
        <v>0</v>
      </c>
      <c r="M94" s="4200">
        <f t="shared" si="29"/>
        <v>0</v>
      </c>
      <c r="N94" s="4200">
        <f t="shared" si="29"/>
        <v>0</v>
      </c>
    </row>
    <row r="95" spans="1:37" ht="39">
      <c r="A95" s="2443" t="s">
        <v>3156</v>
      </c>
      <c r="B95" s="2444">
        <f>估价对象房地状况!C19</f>
        <v>0</v>
      </c>
      <c r="C95" s="1482"/>
      <c r="D95" s="4196">
        <f t="shared" si="30"/>
        <v>0</v>
      </c>
      <c r="E95" s="4201"/>
      <c r="F95" s="4195"/>
      <c r="G95" s="4198"/>
      <c r="H95" s="4199" t="str">
        <f t="shared" ref="H95:H101" si="31">IFERROR(ROUNDDOWN($F$93*I95/2,4),"——")</f>
        <v>——</v>
      </c>
      <c r="I95" s="4192">
        <v>0.11</v>
      </c>
      <c r="J95" s="4200">
        <f t="shared" si="27"/>
        <v>0</v>
      </c>
      <c r="K95" s="4200">
        <f t="shared" si="28"/>
        <v>0</v>
      </c>
      <c r="L95" s="4200">
        <v>0</v>
      </c>
      <c r="M95" s="4200">
        <f t="shared" si="29"/>
        <v>0</v>
      </c>
      <c r="N95" s="4200">
        <f t="shared" si="29"/>
        <v>0</v>
      </c>
    </row>
    <row r="96" spans="1:37" ht="39">
      <c r="A96" s="2453" t="s">
        <v>3161</v>
      </c>
      <c r="B96" s="2456" t="s">
        <v>3172</v>
      </c>
      <c r="C96" s="1482"/>
      <c r="D96" s="4196">
        <f t="shared" si="30"/>
        <v>0</v>
      </c>
      <c r="E96" s="4201"/>
      <c r="F96" s="4195"/>
      <c r="G96" s="4198"/>
      <c r="H96" s="4199" t="str">
        <f t="shared" si="31"/>
        <v>——</v>
      </c>
      <c r="I96" s="4192">
        <v>0.05</v>
      </c>
      <c r="J96" s="4200">
        <f t="shared" si="27"/>
        <v>0</v>
      </c>
      <c r="K96" s="4200">
        <f t="shared" si="28"/>
        <v>0</v>
      </c>
      <c r="L96" s="4200">
        <v>0</v>
      </c>
      <c r="M96" s="4200">
        <f t="shared" si="29"/>
        <v>0</v>
      </c>
      <c r="N96" s="4200">
        <f t="shared" si="29"/>
        <v>0</v>
      </c>
    </row>
    <row r="97" spans="1:14" ht="26">
      <c r="A97" s="2453" t="s">
        <v>3162</v>
      </c>
      <c r="B97" s="2444">
        <f>估价对象房地状况!C24</f>
        <v>0</v>
      </c>
      <c r="C97" s="1482"/>
      <c r="D97" s="4196">
        <f t="shared" si="30"/>
        <v>0</v>
      </c>
      <c r="E97" s="4201"/>
      <c r="F97" s="4195"/>
      <c r="G97" s="4198"/>
      <c r="H97" s="4199" t="str">
        <f t="shared" si="31"/>
        <v>——</v>
      </c>
      <c r="I97" s="4192">
        <v>0.05</v>
      </c>
      <c r="J97" s="4200">
        <f t="shared" si="27"/>
        <v>0</v>
      </c>
      <c r="K97" s="4200">
        <f t="shared" si="28"/>
        <v>0</v>
      </c>
      <c r="L97" s="4200">
        <v>0</v>
      </c>
      <c r="M97" s="4200">
        <f t="shared" si="29"/>
        <v>0</v>
      </c>
      <c r="N97" s="4200">
        <f t="shared" si="29"/>
        <v>0</v>
      </c>
    </row>
    <row r="98" spans="1:14" ht="26">
      <c r="A98" s="2453" t="s">
        <v>3163</v>
      </c>
      <c r="B98" s="2457" t="s">
        <v>3173</v>
      </c>
      <c r="C98" s="1482"/>
      <c r="D98" s="4196">
        <f t="shared" si="30"/>
        <v>0</v>
      </c>
      <c r="E98" s="4201"/>
      <c r="F98" s="4195"/>
      <c r="G98" s="4198"/>
      <c r="H98" s="4199" t="str">
        <f t="shared" si="31"/>
        <v>——</v>
      </c>
      <c r="I98" s="4192">
        <v>0.06</v>
      </c>
      <c r="J98" s="4200">
        <f t="shared" si="27"/>
        <v>0</v>
      </c>
      <c r="K98" s="4200">
        <f t="shared" si="28"/>
        <v>0</v>
      </c>
      <c r="L98" s="4200">
        <v>0</v>
      </c>
      <c r="M98" s="4200">
        <f t="shared" si="29"/>
        <v>0</v>
      </c>
      <c r="N98" s="4200">
        <f t="shared" si="29"/>
        <v>0</v>
      </c>
    </row>
    <row r="99" spans="1:14" ht="26">
      <c r="A99" s="2453" t="s">
        <v>3164</v>
      </c>
      <c r="B99" s="2444" t="str">
        <f>估价对象房地状况!C21</f>
        <v>估价对象所在区域公共配套设施齐备情况</v>
      </c>
      <c r="C99" s="1482"/>
      <c r="D99" s="4196">
        <f t="shared" si="30"/>
        <v>0</v>
      </c>
      <c r="E99" s="4201"/>
      <c r="F99" s="4195"/>
      <c r="G99" s="4198"/>
      <c r="H99" s="4199" t="str">
        <f t="shared" si="31"/>
        <v>——</v>
      </c>
      <c r="I99" s="4192">
        <v>0.06</v>
      </c>
      <c r="J99" s="4200">
        <f t="shared" si="27"/>
        <v>0</v>
      </c>
      <c r="K99" s="4200">
        <f t="shared" si="28"/>
        <v>0</v>
      </c>
      <c r="L99" s="4200">
        <v>0</v>
      </c>
      <c r="M99" s="4200">
        <f t="shared" si="29"/>
        <v>0</v>
      </c>
      <c r="N99" s="4200">
        <f t="shared" si="29"/>
        <v>0</v>
      </c>
    </row>
    <row r="100" spans="1:14" ht="26">
      <c r="A100" s="2453" t="s">
        <v>3165</v>
      </c>
      <c r="B100" s="2444" t="str">
        <f>估价对象房地状况!C22</f>
        <v>估价对象所在区域基础设施水平</v>
      </c>
      <c r="C100" s="1482"/>
      <c r="D100" s="4196">
        <f t="shared" si="30"/>
        <v>0</v>
      </c>
      <c r="E100" s="4201"/>
      <c r="F100" s="4195"/>
      <c r="G100" s="4198"/>
      <c r="H100" s="4199" t="str">
        <f t="shared" si="31"/>
        <v>——</v>
      </c>
      <c r="I100" s="4192">
        <v>0.09</v>
      </c>
      <c r="J100" s="4200">
        <f t="shared" si="27"/>
        <v>0</v>
      </c>
      <c r="K100" s="4200">
        <f t="shared" si="28"/>
        <v>0</v>
      </c>
      <c r="L100" s="4200">
        <v>0</v>
      </c>
      <c r="M100" s="4200">
        <f t="shared" si="29"/>
        <v>0</v>
      </c>
      <c r="N100" s="4200">
        <f t="shared" si="29"/>
        <v>0</v>
      </c>
    </row>
    <row r="101" spans="1:14" ht="26.5" thickBot="1">
      <c r="A101" s="2454" t="s">
        <v>3166</v>
      </c>
      <c r="B101" s="2458" t="str">
        <f>估价对象房地状况!C20</f>
        <v>区域自然环境：；人文环境；综合评价环境状况一般</v>
      </c>
      <c r="C101" s="1482"/>
      <c r="D101" s="4196">
        <f t="shared" si="30"/>
        <v>0</v>
      </c>
      <c r="E101" s="4176"/>
      <c r="F101" s="4195"/>
      <c r="G101" s="4198"/>
      <c r="H101" s="4199" t="str">
        <f t="shared" si="31"/>
        <v>——</v>
      </c>
      <c r="I101" s="4194">
        <v>7.0000000000000007E-2</v>
      </c>
      <c r="J101" s="4200">
        <f t="shared" si="27"/>
        <v>0</v>
      </c>
      <c r="K101" s="4200">
        <f t="shared" si="28"/>
        <v>0</v>
      </c>
      <c r="L101" s="4200">
        <v>0</v>
      </c>
      <c r="M101" s="4200">
        <f t="shared" si="29"/>
        <v>0</v>
      </c>
      <c r="N101" s="4200">
        <f t="shared" si="29"/>
        <v>0</v>
      </c>
    </row>
    <row r="103" spans="1:14" ht="13">
      <c r="A103" s="4694" t="s">
        <v>3181</v>
      </c>
      <c r="B103" s="4694"/>
      <c r="C103" s="4694"/>
      <c r="D103" s="4694"/>
      <c r="E103" s="4694"/>
      <c r="F103" s="4694"/>
      <c r="G103" s="4694"/>
      <c r="H103" s="4694"/>
      <c r="I103" s="4694"/>
      <c r="J103" s="4694"/>
      <c r="K103" s="1293"/>
      <c r="L103" s="1293"/>
      <c r="M103" s="1293"/>
      <c r="N103" s="1293"/>
    </row>
    <row r="104" spans="1:14" ht="13">
      <c r="A104" s="4695" t="s">
        <v>3182</v>
      </c>
      <c r="B104" s="4695" t="s">
        <v>3183</v>
      </c>
      <c r="C104" s="4216" t="s">
        <v>3184</v>
      </c>
      <c r="D104" s="1534"/>
      <c r="E104" s="1534"/>
      <c r="F104" s="1534"/>
      <c r="G104" s="1534"/>
      <c r="H104" s="1534"/>
      <c r="I104" s="1534"/>
      <c r="J104" s="1534"/>
      <c r="K104" s="1534"/>
      <c r="L104" s="1534"/>
      <c r="M104" s="1534"/>
      <c r="N104" s="4217"/>
    </row>
    <row r="105" spans="1:14" ht="13">
      <c r="A105" s="4695"/>
      <c r="B105" s="4695"/>
      <c r="C105" s="2460" t="s">
        <v>3185</v>
      </c>
      <c r="D105" s="2460" t="s">
        <v>3186</v>
      </c>
      <c r="E105" s="2460" t="s">
        <v>3187</v>
      </c>
      <c r="F105" s="2460" t="s">
        <v>3188</v>
      </c>
      <c r="G105" s="2460" t="s">
        <v>3189</v>
      </c>
      <c r="H105" s="2460" t="s">
        <v>3190</v>
      </c>
      <c r="I105" s="2460" t="s">
        <v>3191</v>
      </c>
      <c r="J105" s="2460" t="s">
        <v>3192</v>
      </c>
      <c r="K105" s="2460" t="s">
        <v>3193</v>
      </c>
      <c r="L105" s="2460" t="s">
        <v>3194</v>
      </c>
      <c r="M105" s="2460" t="s">
        <v>3195</v>
      </c>
      <c r="N105" s="2460" t="s">
        <v>3196</v>
      </c>
    </row>
    <row r="106" spans="1:14">
      <c r="A106" s="4685" t="s">
        <v>3197</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86"/>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86"/>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86"/>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86"/>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ht="13">
      <c r="A111" s="4686"/>
      <c r="B111" s="2460" t="s">
        <v>3155</v>
      </c>
      <c r="C111" s="4202">
        <f>$I$3</f>
        <v>0</v>
      </c>
      <c r="D111" s="4202">
        <f t="shared" ref="D111:M111" si="32">$I$3</f>
        <v>0</v>
      </c>
      <c r="E111" s="4202">
        <f t="shared" si="32"/>
        <v>0</v>
      </c>
      <c r="F111" s="4202">
        <f t="shared" si="32"/>
        <v>0</v>
      </c>
      <c r="G111" s="4202">
        <f t="shared" si="32"/>
        <v>0</v>
      </c>
      <c r="H111" s="4202">
        <f t="shared" si="32"/>
        <v>0</v>
      </c>
      <c r="I111" s="4202">
        <f t="shared" si="32"/>
        <v>0</v>
      </c>
      <c r="J111" s="4202">
        <f t="shared" si="32"/>
        <v>0</v>
      </c>
      <c r="K111" s="4202">
        <f t="shared" si="32"/>
        <v>0</v>
      </c>
      <c r="L111" s="4202">
        <f t="shared" si="32"/>
        <v>0</v>
      </c>
      <c r="M111" s="4202">
        <f t="shared" si="32"/>
        <v>0</v>
      </c>
      <c r="N111" s="4202">
        <f>$I$3</f>
        <v>0</v>
      </c>
    </row>
    <row r="112" spans="1:14">
      <c r="A112" s="4687"/>
      <c r="B112" s="2460">
        <v>6</v>
      </c>
      <c r="C112" s="4203">
        <f>(-0.5556*(C111^2)-0.2719*C111+8944)*(10^(-4))</f>
        <v>0.89440000000000008</v>
      </c>
      <c r="D112" s="4203">
        <f>(-0.5556*(D111^2)-0.2719*D111+8944)*(10^(-4))</f>
        <v>0.89440000000000008</v>
      </c>
      <c r="E112" s="4203">
        <f>(-0.7912*(E111^2)-11.3794*E111+8482)*(10^(-4))</f>
        <v>0.84820000000000007</v>
      </c>
      <c r="F112" s="4203">
        <f t="shared" ref="F112:I112" si="33">(-0.7912*(F111^2)-11.3794*F111+8482)*(10^(-4))</f>
        <v>0.84820000000000007</v>
      </c>
      <c r="G112" s="4203">
        <f t="shared" si="33"/>
        <v>0.84820000000000007</v>
      </c>
      <c r="H112" s="4203">
        <f t="shared" si="33"/>
        <v>0.84820000000000007</v>
      </c>
      <c r="I112" s="4203">
        <f t="shared" si="33"/>
        <v>0.84820000000000007</v>
      </c>
      <c r="J112" s="4203">
        <f>(-0.989*(J111^2)-63.78*J111+7771)*(10^(-4))</f>
        <v>0.77710000000000001</v>
      </c>
      <c r="K112" s="4203">
        <f t="shared" ref="K112:N112" si="34">(-0.989*(K111^2)-63.78*K111+7771)*(10^(-4))</f>
        <v>0.77710000000000001</v>
      </c>
      <c r="L112" s="4203">
        <f t="shared" si="34"/>
        <v>0.77710000000000001</v>
      </c>
      <c r="M112" s="4203">
        <f t="shared" si="34"/>
        <v>0.77710000000000001</v>
      </c>
      <c r="N112" s="4203">
        <f t="shared" si="34"/>
        <v>0.77710000000000001</v>
      </c>
    </row>
    <row r="113" spans="1:14" ht="13">
      <c r="A113" s="4688" t="s">
        <v>3198</v>
      </c>
      <c r="B113" s="4688"/>
      <c r="C113" s="4688"/>
      <c r="D113" s="4688"/>
      <c r="E113" s="4688"/>
      <c r="F113" s="4688"/>
      <c r="G113" s="4688"/>
      <c r="H113" s="4688"/>
      <c r="I113" s="4688"/>
      <c r="J113" s="4688"/>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 thickBot="1">
      <c r="A115" s="2462"/>
      <c r="B115" s="2462"/>
      <c r="C115" s="2462"/>
      <c r="D115" s="2462"/>
      <c r="E115" s="2462"/>
      <c r="F115" s="2462"/>
      <c r="G115" s="2462"/>
      <c r="H115" s="2462"/>
      <c r="I115" s="2462"/>
      <c r="J115" s="2462"/>
      <c r="K115" s="1554"/>
      <c r="L115" s="2462"/>
      <c r="M115" s="2462"/>
      <c r="N115" s="2462"/>
    </row>
    <row r="116" spans="1:14" ht="26" thickBot="1">
      <c r="A116" s="4210" t="s">
        <v>3199</v>
      </c>
      <c r="B116" s="4214">
        <f>G3</f>
        <v>9.17</v>
      </c>
      <c r="C116" s="4211" t="s">
        <v>3200</v>
      </c>
      <c r="D116" s="4215">
        <f>SUMPRODUCT((A118:A122=F116)*(B117:M117=H116)*B118:M122)</f>
        <v>0.89029999999999998</v>
      </c>
      <c r="E116" s="4211" t="s">
        <v>3201</v>
      </c>
      <c r="F116" s="4212" t="str">
        <f>E2</f>
        <v>办公</v>
      </c>
      <c r="G116" s="4211" t="s">
        <v>3202</v>
      </c>
      <c r="H116" s="4212" t="str">
        <f>G2</f>
        <v>二级</v>
      </c>
      <c r="I116" s="4213"/>
      <c r="J116" s="2463"/>
      <c r="K116" s="2463"/>
      <c r="L116" s="2463"/>
      <c r="M116" s="2463"/>
      <c r="N116" s="2462"/>
    </row>
    <row r="117" spans="1:14" ht="13">
      <c r="A117" s="2434"/>
      <c r="B117" s="2464" t="s">
        <v>3203</v>
      </c>
      <c r="C117" s="2464" t="s">
        <v>3204</v>
      </c>
      <c r="D117" s="2464" t="s">
        <v>3205</v>
      </c>
      <c r="E117" s="2464" t="s">
        <v>3206</v>
      </c>
      <c r="F117" s="2464" t="s">
        <v>3207</v>
      </c>
      <c r="G117" s="2464" t="s">
        <v>3208</v>
      </c>
      <c r="H117" s="4207" t="s">
        <v>3209</v>
      </c>
      <c r="I117" s="4207" t="s">
        <v>3210</v>
      </c>
      <c r="J117" s="2464" t="s">
        <v>3211</v>
      </c>
      <c r="K117" s="2464" t="s">
        <v>3212</v>
      </c>
      <c r="L117" s="2464" t="s">
        <v>3213</v>
      </c>
      <c r="M117" s="4208" t="s">
        <v>3214</v>
      </c>
      <c r="N117" s="2462"/>
    </row>
    <row r="118" spans="1:14" ht="13">
      <c r="A118" s="2436" t="s">
        <v>3215</v>
      </c>
      <c r="B118" s="4203">
        <f>ROUND(0.9968-0.011*B116,4)</f>
        <v>0.89590000000000003</v>
      </c>
      <c r="C118" s="4203">
        <f>B118</f>
        <v>0.89590000000000003</v>
      </c>
      <c r="D118" s="4203">
        <f>ROUND(0.949-0.014*B116,4)</f>
        <v>0.8206</v>
      </c>
      <c r="E118" s="4203">
        <f>D118</f>
        <v>0.8206</v>
      </c>
      <c r="F118" s="4203">
        <f>E118</f>
        <v>0.8206</v>
      </c>
      <c r="G118" s="4203">
        <f>F118</f>
        <v>0.8206</v>
      </c>
      <c r="H118" s="4203">
        <f>G118</f>
        <v>0.8206</v>
      </c>
      <c r="I118" s="4203">
        <f>ROUND(0.8486-0.018*B116,4)</f>
        <v>0.6835</v>
      </c>
      <c r="J118" s="4203">
        <f t="shared" ref="J118:M122" si="35">I118</f>
        <v>0.6835</v>
      </c>
      <c r="K118" s="4203">
        <f t="shared" si="35"/>
        <v>0.6835</v>
      </c>
      <c r="L118" s="4203">
        <f t="shared" si="35"/>
        <v>0.6835</v>
      </c>
      <c r="M118" s="4204">
        <f t="shared" si="35"/>
        <v>0.6835</v>
      </c>
      <c r="N118" s="2462"/>
    </row>
    <row r="119" spans="1:14" ht="13">
      <c r="A119" s="2436" t="s">
        <v>3216</v>
      </c>
      <c r="B119" s="4203">
        <f>ROUND(0.993-0.0112*B116,4)</f>
        <v>0.89029999999999998</v>
      </c>
      <c r="C119" s="4203">
        <f>B119</f>
        <v>0.89029999999999998</v>
      </c>
      <c r="D119" s="4203">
        <f>ROUND(0.9415-0.0142*B116,4)</f>
        <v>0.81130000000000002</v>
      </c>
      <c r="E119" s="4203">
        <f t="shared" ref="E119:H120" si="36">D119</f>
        <v>0.81130000000000002</v>
      </c>
      <c r="F119" s="4203">
        <f t="shared" si="36"/>
        <v>0.81130000000000002</v>
      </c>
      <c r="G119" s="4203">
        <f t="shared" si="36"/>
        <v>0.81130000000000002</v>
      </c>
      <c r="H119" s="4203">
        <f t="shared" si="36"/>
        <v>0.81130000000000002</v>
      </c>
      <c r="I119" s="4203">
        <f>ROUND(0.838-0.0182*B116,4)</f>
        <v>0.67110000000000003</v>
      </c>
      <c r="J119" s="4203">
        <f t="shared" si="35"/>
        <v>0.67110000000000003</v>
      </c>
      <c r="K119" s="4203">
        <f t="shared" si="35"/>
        <v>0.67110000000000003</v>
      </c>
      <c r="L119" s="4203">
        <f t="shared" si="35"/>
        <v>0.67110000000000003</v>
      </c>
      <c r="M119" s="4204">
        <f t="shared" si="35"/>
        <v>0.67110000000000003</v>
      </c>
      <c r="N119" s="2462"/>
    </row>
    <row r="120" spans="1:14" ht="13">
      <c r="A120" s="2436" t="s">
        <v>3217</v>
      </c>
      <c r="B120" s="4203">
        <f>ROUND(0.9448-0.0115*B116,4)</f>
        <v>0.83930000000000005</v>
      </c>
      <c r="C120" s="4203">
        <f>B120</f>
        <v>0.83930000000000005</v>
      </c>
      <c r="D120" s="4203">
        <f>ROUND(0.937-0.0145*B116,4)</f>
        <v>0.80400000000000005</v>
      </c>
      <c r="E120" s="4203">
        <f t="shared" si="36"/>
        <v>0.80400000000000005</v>
      </c>
      <c r="F120" s="4203">
        <f t="shared" si="36"/>
        <v>0.80400000000000005</v>
      </c>
      <c r="G120" s="4203">
        <f t="shared" si="36"/>
        <v>0.80400000000000005</v>
      </c>
      <c r="H120" s="4203">
        <f t="shared" si="36"/>
        <v>0.80400000000000005</v>
      </c>
      <c r="I120" s="4203">
        <f>ROUND(0.7965-0.0185*B116,4)</f>
        <v>0.62690000000000001</v>
      </c>
      <c r="J120" s="4203">
        <f t="shared" si="35"/>
        <v>0.62690000000000001</v>
      </c>
      <c r="K120" s="4203">
        <f t="shared" si="35"/>
        <v>0.62690000000000001</v>
      </c>
      <c r="L120" s="4203">
        <f t="shared" si="35"/>
        <v>0.62690000000000001</v>
      </c>
      <c r="M120" s="4204">
        <f t="shared" si="35"/>
        <v>0.62690000000000001</v>
      </c>
      <c r="N120" s="2462"/>
    </row>
    <row r="121" spans="1:14" ht="13">
      <c r="A121" s="2436" t="s">
        <v>3218</v>
      </c>
      <c r="B121" s="4203">
        <f>ROUND(0.7836-0.012*B116,4)</f>
        <v>0.67359999999999998</v>
      </c>
      <c r="C121" s="4203">
        <f>B121</f>
        <v>0.67359999999999998</v>
      </c>
      <c r="D121" s="4203">
        <f>ROUND(0.753-0.015*B116,4)</f>
        <v>0.61550000000000005</v>
      </c>
      <c r="E121" s="4203">
        <f>D121</f>
        <v>0.61550000000000005</v>
      </c>
      <c r="F121" s="4203">
        <f>E121</f>
        <v>0.61550000000000005</v>
      </c>
      <c r="G121" s="4203">
        <f>ROUND(0.6612-0.018*B116,4)</f>
        <v>0.49609999999999999</v>
      </c>
      <c r="H121" s="4203">
        <f>G121</f>
        <v>0.49609999999999999</v>
      </c>
      <c r="I121" s="4203">
        <f>ROUND(0.5905-0.019*B116,4)</f>
        <v>0.4163</v>
      </c>
      <c r="J121" s="4203">
        <f t="shared" si="35"/>
        <v>0.4163</v>
      </c>
      <c r="K121" s="4203">
        <f t="shared" si="35"/>
        <v>0.4163</v>
      </c>
      <c r="L121" s="4203">
        <f t="shared" si="35"/>
        <v>0.4163</v>
      </c>
      <c r="M121" s="4204">
        <f t="shared" si="35"/>
        <v>0.4163</v>
      </c>
      <c r="N121" s="2462"/>
    </row>
    <row r="122" spans="1:14" ht="13.5" thickBot="1">
      <c r="A122" s="4209" t="s">
        <v>2501</v>
      </c>
      <c r="B122" s="4205">
        <f>ROUND(0.9404-0.0106*B116,4)</f>
        <v>0.84319999999999995</v>
      </c>
      <c r="C122" s="4205">
        <f>B122</f>
        <v>0.84319999999999995</v>
      </c>
      <c r="D122" s="4205">
        <f>ROUND(0.8955-0.0135*B116,4)</f>
        <v>0.77170000000000005</v>
      </c>
      <c r="E122" s="4205">
        <f t="shared" ref="E122:H122" si="37">D122</f>
        <v>0.77170000000000005</v>
      </c>
      <c r="F122" s="4205">
        <f t="shared" si="37"/>
        <v>0.77170000000000005</v>
      </c>
      <c r="G122" s="4205">
        <f t="shared" si="37"/>
        <v>0.77170000000000005</v>
      </c>
      <c r="H122" s="4205">
        <f t="shared" si="37"/>
        <v>0.77170000000000005</v>
      </c>
      <c r="I122" s="4205">
        <f>ROUND(0.7632-0.0166*B116,4)</f>
        <v>0.61099999999999999</v>
      </c>
      <c r="J122" s="4205">
        <f t="shared" si="35"/>
        <v>0.61099999999999999</v>
      </c>
      <c r="K122" s="4205">
        <f t="shared" si="35"/>
        <v>0.61099999999999999</v>
      </c>
      <c r="L122" s="4205">
        <f t="shared" si="35"/>
        <v>0.61099999999999999</v>
      </c>
      <c r="M122" s="4206">
        <f t="shared" si="35"/>
        <v>0.61099999999999999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6" t="s">
        <v>3515</v>
      </c>
      <c r="B1" s="47"/>
      <c r="C1" s="785"/>
      <c r="D1" s="784"/>
      <c r="E1" s="2045"/>
      <c r="F1" s="2045"/>
      <c r="G1" s="1938"/>
      <c r="H1" s="2045"/>
      <c r="I1" s="2045"/>
      <c r="J1" s="2045"/>
      <c r="K1" s="2046">
        <f>MATCH(C1,'数据-取费表'!A6:A16,0)+5</f>
        <v>7</v>
      </c>
    </row>
    <row r="2" spans="1:33" ht="18" customHeight="1">
      <c r="A2" s="96" t="s">
        <v>1431</v>
      </c>
      <c r="B2" s="2523">
        <f ca="1">C34</f>
        <v>-5230</v>
      </c>
      <c r="C2" s="171" t="s">
        <v>1531</v>
      </c>
      <c r="D2" s="171"/>
      <c r="E2" s="2045"/>
      <c r="F2" s="2045"/>
      <c r="G2" s="2045"/>
      <c r="H2" s="2045"/>
      <c r="I2" s="2045"/>
      <c r="J2" s="2045"/>
      <c r="K2" s="2045"/>
    </row>
    <row r="3" spans="1:33" ht="18" customHeight="1">
      <c r="A3" s="98" t="s">
        <v>1433</v>
      </c>
      <c r="B3" s="2523">
        <f ca="1">ROUND(B2*10000/IF(C1="",'数据-汇总表'!E3,INDIRECT("'数据-取费表'!K"&amp;$K$1)),0)</f>
        <v>-4358</v>
      </c>
      <c r="C3" s="171" t="s">
        <v>1532</v>
      </c>
      <c r="D3" s="171"/>
      <c r="E3" s="2045"/>
      <c r="F3" s="2045"/>
      <c r="G3" s="2045"/>
      <c r="H3" s="2045"/>
      <c r="I3" s="2045"/>
      <c r="J3" s="2045"/>
      <c r="K3" s="2045"/>
    </row>
    <row r="4" spans="1:33" ht="18" customHeight="1">
      <c r="A4" s="3386" t="s">
        <v>3630</v>
      </c>
      <c r="B4" s="2522">
        <f ca="1">ROUND(B2*10000/IF(C1="",'数据-汇总表'!D3,INDIRECT("'数据-取费表'!R"&amp;$K$1)),0)</f>
        <v>-49052</v>
      </c>
      <c r="C4" s="1336" t="s">
        <v>3632</v>
      </c>
      <c r="D4" s="171"/>
      <c r="E4" s="2045"/>
      <c r="F4" s="2045"/>
      <c r="G4" s="2045"/>
      <c r="H4" s="2045"/>
      <c r="I4" s="2045"/>
      <c r="J4" s="2045"/>
      <c r="K4" s="2045"/>
    </row>
    <row r="5" spans="1:33" ht="18" customHeight="1" thickBot="1">
      <c r="A5" s="94"/>
      <c r="B5" s="3395">
        <f ca="1">ROUND(B2/(IF(C1="",'数据-汇总表'!D3,INDIRECT("'数据-取费表'!R"&amp;$K$1))/666.67),0)</f>
        <v>-3270</v>
      </c>
      <c r="C5" s="3389" t="s">
        <v>3631</v>
      </c>
      <c r="D5" s="171"/>
      <c r="E5" s="2045"/>
      <c r="F5" s="2045"/>
      <c r="G5" s="2045"/>
      <c r="H5" s="2045"/>
      <c r="I5" s="2045"/>
      <c r="J5" s="2045"/>
      <c r="K5" s="2045"/>
    </row>
    <row r="6" spans="1:33" s="515" customFormat="1" ht="16.5" customHeight="1">
      <c r="A6" s="2653" t="s">
        <v>3519</v>
      </c>
      <c r="B6" s="2652"/>
      <c r="C6" s="4678" t="s">
        <v>3376</v>
      </c>
      <c r="D6" s="4678"/>
      <c r="E6" s="4678"/>
      <c r="F6" s="4678"/>
      <c r="G6" s="4678"/>
      <c r="H6" s="4678"/>
      <c r="I6" s="4678"/>
      <c r="J6" s="4678"/>
      <c r="K6" s="4679"/>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3961</v>
      </c>
      <c r="B10" s="4075" t="s">
        <v>3956</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700" t="s">
        <v>3520</v>
      </c>
      <c r="B11" s="4701"/>
      <c r="C11" s="4701"/>
      <c r="D11" s="4701"/>
      <c r="E11" s="4701"/>
      <c r="F11" s="4701"/>
      <c r="G11" s="4701"/>
      <c r="H11" s="4701"/>
      <c r="I11" s="4701"/>
      <c r="J11" s="4701"/>
      <c r="K11" s="4702"/>
    </row>
    <row r="12" spans="1:33" s="4072" customFormat="1" ht="13.5" customHeight="1">
      <c r="A12" s="3211" t="s">
        <v>3509</v>
      </c>
      <c r="B12" s="4069" t="s">
        <v>1537</v>
      </c>
      <c r="C12" s="4073" t="s">
        <v>3956</v>
      </c>
      <c r="D12" s="4069" t="s">
        <v>1539</v>
      </c>
      <c r="E12" s="4069" t="s">
        <v>1540</v>
      </c>
      <c r="F12" s="4069" t="s">
        <v>1541</v>
      </c>
      <c r="G12" s="4081" t="s">
        <v>3400</v>
      </c>
      <c r="H12" s="4082"/>
      <c r="I12" s="4082"/>
      <c r="J12" s="4082"/>
      <c r="K12" s="4083"/>
    </row>
    <row r="13" spans="1:33" s="521" customFormat="1" ht="13.5" customHeight="1">
      <c r="A13" s="2493">
        <v>1</v>
      </c>
      <c r="B13" s="2677" t="s">
        <v>3521</v>
      </c>
      <c r="C13" s="2662">
        <f>SUM(C10:K10)</f>
        <v>0</v>
      </c>
      <c r="D13" s="520"/>
      <c r="E13" s="520"/>
      <c r="F13" s="3225"/>
      <c r="G13" s="3350"/>
      <c r="H13" s="3349"/>
      <c r="I13" s="3349"/>
      <c r="J13" s="3349"/>
      <c r="K13" s="3361"/>
    </row>
    <row r="14" spans="1:33" s="521" customFormat="1" ht="13.5" customHeight="1">
      <c r="A14" s="2493">
        <v>2</v>
      </c>
      <c r="B14" s="2678" t="s">
        <v>3624</v>
      </c>
      <c r="C14" s="2662">
        <v>0</v>
      </c>
      <c r="D14" s="2678"/>
      <c r="E14" s="2678"/>
      <c r="F14" s="2596">
        <v>0</v>
      </c>
      <c r="G14" s="3529" t="s">
        <v>3674</v>
      </c>
      <c r="H14" s="3349"/>
      <c r="I14" s="3349"/>
      <c r="J14" s="3349"/>
      <c r="K14" s="3361"/>
    </row>
    <row r="15" spans="1:33" s="523" customFormat="1" ht="13.5" customHeight="1">
      <c r="A15" s="2493">
        <v>3</v>
      </c>
      <c r="B15" s="530" t="s">
        <v>3594</v>
      </c>
      <c r="C15" s="2534">
        <f ca="1">C32-C33</f>
        <v>5230</v>
      </c>
      <c r="D15" s="530"/>
      <c r="E15" s="173"/>
      <c r="F15" s="3226"/>
      <c r="G15" s="3351" t="s">
        <v>3539</v>
      </c>
      <c r="H15" s="526"/>
      <c r="I15" s="526"/>
      <c r="J15" s="526"/>
      <c r="K15" s="527"/>
    </row>
    <row r="16" spans="1:33" s="523" customFormat="1" ht="13.5" customHeight="1">
      <c r="A16" s="3362" t="s">
        <v>3589</v>
      </c>
      <c r="B16" s="3230" t="s">
        <v>3522</v>
      </c>
      <c r="C16" s="3231">
        <f ca="1">SUM(C17:C22)</f>
        <v>6010</v>
      </c>
      <c r="D16" s="3230"/>
      <c r="E16" s="3230"/>
      <c r="F16" s="3232"/>
      <c r="G16" s="2632"/>
      <c r="H16" s="3349"/>
      <c r="I16" s="3349"/>
      <c r="J16" s="3349"/>
      <c r="K16" s="3361"/>
    </row>
    <row r="17" spans="1:33" s="523" customFormat="1" ht="13.5" customHeight="1">
      <c r="A17" s="3363" t="s">
        <v>3540</v>
      </c>
      <c r="B17" s="3217" t="s">
        <v>3527</v>
      </c>
      <c r="C17" s="2501">
        <f ca="1">IF(C1="",'数据-取费表'!M16,INDIRECT("'数据-取费表'!M"&amp;$K$1)+INDIRECT("'数据-取费表'!ap"&amp;$K$1))</f>
        <v>5280</v>
      </c>
      <c r="D17" s="3233"/>
      <c r="E17" s="3234"/>
      <c r="F17" s="3246"/>
      <c r="G17" s="3352"/>
      <c r="H17" s="3349"/>
      <c r="I17" s="3349"/>
      <c r="J17" s="3349"/>
      <c r="K17" s="3361"/>
    </row>
    <row r="18" spans="1:33" s="523" customFormat="1" ht="13.5" customHeight="1">
      <c r="A18" s="3363" t="s">
        <v>3528</v>
      </c>
      <c r="B18" s="3218" t="s">
        <v>3529</v>
      </c>
      <c r="C18" s="2501">
        <f ca="1">ROUND(C17*F18,0)</f>
        <v>317</v>
      </c>
      <c r="D18" s="3230"/>
      <c r="E18" s="3230"/>
      <c r="F18" s="3247">
        <f>'数据-取费表'!B33</f>
        <v>0.06</v>
      </c>
      <c r="G18" s="2632"/>
      <c r="H18" s="3349"/>
      <c r="I18" s="3349"/>
      <c r="J18" s="3349"/>
      <c r="K18" s="3361"/>
    </row>
    <row r="19" spans="1:33" s="523" customFormat="1" ht="13.5" customHeight="1">
      <c r="A19" s="3363" t="s">
        <v>3541</v>
      </c>
      <c r="B19" s="3219" t="s">
        <v>3497</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3542</v>
      </c>
      <c r="B20" s="3219" t="s">
        <v>3550</v>
      </c>
      <c r="C20" s="2501">
        <f ca="1">ROUND(D20*E20/10000,0)</f>
        <v>360</v>
      </c>
      <c r="D20" s="3228">
        <f ca="1">IF(C1="",'数据-汇总表'!E3,INDIRECT("'数据-取费表'!K"&amp;$K$1)+INDIRECT("'数据-取费表'!S"&amp;$K$1))</f>
        <v>12000.230000000001</v>
      </c>
      <c r="E20" s="3229">
        <f>'数据-取费表'!B35</f>
        <v>300</v>
      </c>
      <c r="F20" s="3228"/>
      <c r="G20" s="2497"/>
      <c r="H20" s="3349"/>
      <c r="I20" s="3349"/>
      <c r="J20" s="526"/>
      <c r="K20" s="527"/>
    </row>
    <row r="21" spans="1:33" s="523" customFormat="1" ht="13.5" customHeight="1">
      <c r="A21" s="3363" t="s">
        <v>3543</v>
      </c>
      <c r="B21" s="3220" t="s">
        <v>3500</v>
      </c>
      <c r="C21" s="2501">
        <f ca="1">ROUND(C17*F21,0)</f>
        <v>53</v>
      </c>
      <c r="D21" s="3235"/>
      <c r="E21" s="3235"/>
      <c r="F21" s="3247">
        <f>'数据-取费表'!B36</f>
        <v>0.01</v>
      </c>
      <c r="G21" s="2497"/>
      <c r="H21" s="528"/>
      <c r="I21" s="528"/>
      <c r="J21" s="528"/>
      <c r="K21" s="3364"/>
    </row>
    <row r="22" spans="1:33" s="523" customFormat="1" ht="13.5" customHeight="1">
      <c r="A22" s="3363" t="s">
        <v>3544</v>
      </c>
      <c r="B22" s="3220" t="s">
        <v>3551</v>
      </c>
      <c r="C22" s="2501">
        <f ca="1">ROUND(C17*F22,0)</f>
        <v>0</v>
      </c>
      <c r="D22" s="3235"/>
      <c r="E22" s="3235"/>
      <c r="F22" s="3247">
        <f>'数据-取费表'!B37</f>
        <v>0</v>
      </c>
      <c r="G22" s="2497"/>
      <c r="H22" s="528"/>
      <c r="I22" s="528"/>
      <c r="J22" s="528"/>
      <c r="K22" s="3364"/>
    </row>
    <row r="23" spans="1:33" s="524" customFormat="1" ht="13.5" customHeight="1">
      <c r="A23" s="3362" t="s">
        <v>3590</v>
      </c>
      <c r="B23" s="3230" t="s">
        <v>3486</v>
      </c>
      <c r="C23" s="2506">
        <f ca="1">ROUND(C16*F23,0)</f>
        <v>120</v>
      </c>
      <c r="D23" s="3236"/>
      <c r="E23" s="3236"/>
      <c r="F23" s="3248">
        <f>'数据-取费表'!B38</f>
        <v>0.02</v>
      </c>
      <c r="G23" s="2509" t="s">
        <v>3523</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3591</v>
      </c>
      <c r="B24" s="3230" t="s">
        <v>3530</v>
      </c>
      <c r="C24" s="2506" t="str">
        <f>F24&amp;"V建"</f>
        <v>0.02V建</v>
      </c>
      <c r="D24" s="3236"/>
      <c r="E24" s="3236"/>
      <c r="F24" s="3248">
        <f>'数据-取费表'!B39</f>
        <v>0.02</v>
      </c>
      <c r="G24" s="2509"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2" t="s">
        <v>3592</v>
      </c>
      <c r="B25" s="3230" t="s">
        <v>3417</v>
      </c>
      <c r="C25" s="3237" t="str">
        <f ca="1">C26&amp;"+"&amp;C27&amp;"V建"</f>
        <v>245+0.0005V建</v>
      </c>
      <c r="D25" s="3238"/>
      <c r="E25" s="3238"/>
      <c r="F25" s="3247">
        <f ca="1">'数据-取费表'!B41</f>
        <v>3.1899999999999998E-2</v>
      </c>
      <c r="G25" s="3353" t="s">
        <v>3531</v>
      </c>
      <c r="H25" s="3354"/>
      <c r="I25" s="3354"/>
      <c r="J25" s="3354"/>
      <c r="K25" s="3365"/>
    </row>
    <row r="26" spans="1:33" s="524" customFormat="1" ht="13.5" customHeight="1">
      <c r="A26" s="3363" t="s">
        <v>3532</v>
      </c>
      <c r="B26" s="3220" t="s">
        <v>3555</v>
      </c>
      <c r="C26" s="3237">
        <f ca="1">ROUND(IF('数据-取费表'!B20&lt;=1,(C16+C23)*F25*'数据-取费表'!B20/2,(C23+C16)*(POWER((1+F25),'数据-取费表'!B20/2)-1)),0)</f>
        <v>245</v>
      </c>
      <c r="D26" s="3238"/>
      <c r="E26" s="3238"/>
      <c r="F26" s="3228"/>
      <c r="G26" s="3353"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3534</v>
      </c>
      <c r="B27" s="3220" t="s">
        <v>3556</v>
      </c>
      <c r="C27" s="3239">
        <f>ROUND(IF('数据-取费表'!B20&lt;=1,F24*F25*'数据-取费表'!B20/2,F24*(POWER((1+F23),'数据-取费表'!B20/2)-1)),4)</f>
        <v>5.0000000000000001E-4</v>
      </c>
      <c r="D27" s="3030"/>
      <c r="E27" s="3030"/>
      <c r="F27" s="3246"/>
      <c r="G27" s="3355"/>
      <c r="H27" s="3349"/>
      <c r="I27" s="3349"/>
      <c r="J27" s="3349"/>
      <c r="K27" s="3361"/>
    </row>
    <row r="28" spans="1:33" s="523" customFormat="1" ht="13.5" customHeight="1">
      <c r="A28" s="3362" t="s">
        <v>3535</v>
      </c>
      <c r="B28" s="3230" t="s">
        <v>3552</v>
      </c>
      <c r="C28" s="2650" t="str">
        <f ca="1">C29&amp;"+"&amp;C30&amp;"V建"</f>
        <v>920+0.003V建</v>
      </c>
      <c r="D28" s="1011"/>
      <c r="E28" s="1011"/>
      <c r="F28" s="3249">
        <f ca="1">IF(C1="",'数据-取费表'!Q16,INDIRECT("'数据-取费表'!q"&amp;$K$1))</f>
        <v>0.15</v>
      </c>
      <c r="G28" s="4703" t="s">
        <v>3536</v>
      </c>
      <c r="H28" s="3349"/>
      <c r="I28" s="3349"/>
      <c r="J28" s="3349"/>
      <c r="K28" s="3361"/>
    </row>
    <row r="29" spans="1:33" s="523" customFormat="1" ht="13.5" customHeight="1">
      <c r="A29" s="3363" t="s">
        <v>3548</v>
      </c>
      <c r="B29" s="3220" t="s">
        <v>3553</v>
      </c>
      <c r="C29" s="2651">
        <f ca="1">ROUND((C16+C23)*F28,0)</f>
        <v>920</v>
      </c>
      <c r="D29" s="1011"/>
      <c r="E29" s="1011"/>
      <c r="F29" s="2720"/>
      <c r="G29" s="4703"/>
      <c r="H29" s="3356"/>
      <c r="I29" s="3356"/>
      <c r="J29" s="3356"/>
      <c r="K29" s="3366"/>
    </row>
    <row r="30" spans="1:33" s="531" customFormat="1" ht="13.5" customHeight="1">
      <c r="A30" s="3363" t="s">
        <v>3549</v>
      </c>
      <c r="B30" s="3220" t="s">
        <v>3554</v>
      </c>
      <c r="C30" s="2501">
        <f ca="1">ROUND(F24*F28,4)</f>
        <v>3.0000000000000001E-3</v>
      </c>
      <c r="D30" s="3240"/>
      <c r="E30" s="3238"/>
      <c r="F30" s="3228"/>
      <c r="G30" s="3357"/>
      <c r="H30" s="526"/>
      <c r="I30" s="526"/>
      <c r="J30" s="526"/>
      <c r="K30" s="527"/>
    </row>
    <row r="31" spans="1:33" s="531" customFormat="1" ht="13.5" customHeight="1">
      <c r="A31" s="3362" t="s">
        <v>3545</v>
      </c>
      <c r="B31" s="3230" t="s">
        <v>3557</v>
      </c>
      <c r="C31" s="2501">
        <v>0</v>
      </c>
      <c r="D31" s="3241"/>
      <c r="E31" s="3242"/>
      <c r="F31" s="3228"/>
      <c r="G31" s="3358" t="s">
        <v>3525</v>
      </c>
      <c r="H31" s="526"/>
      <c r="I31" s="526"/>
      <c r="J31" s="526"/>
      <c r="K31" s="527"/>
    </row>
    <row r="32" spans="1:33" s="523" customFormat="1" ht="13.5" customHeight="1">
      <c r="A32" s="3362" t="s">
        <v>3546</v>
      </c>
      <c r="B32" s="3230" t="s">
        <v>3593</v>
      </c>
      <c r="C32" s="3231">
        <f ca="1">ROUND((C16+C23+C26+C29)/(1-F24-C27-C30),0)</f>
        <v>7471</v>
      </c>
      <c r="D32" s="3241"/>
      <c r="E32" s="3242"/>
      <c r="F32" s="3228"/>
      <c r="G32" s="3359" t="s">
        <v>3526</v>
      </c>
      <c r="H32" s="3360"/>
      <c r="I32" s="3360"/>
      <c r="J32" s="3360"/>
      <c r="K32" s="3367"/>
    </row>
    <row r="33" spans="1:11" s="176" customFormat="1" ht="13.5" customHeight="1">
      <c r="A33" s="3362" t="s">
        <v>3547</v>
      </c>
      <c r="B33" s="3243" t="s">
        <v>3537</v>
      </c>
      <c r="C33" s="3244">
        <f ca="1">ROUND(C32*(1-F33),0)</f>
        <v>2241</v>
      </c>
      <c r="D33" s="3245"/>
      <c r="E33" s="3030"/>
      <c r="F33" s="3248">
        <f>IF('数据-取费表'!B24=0,'数据-取费表'!N16,1)</f>
        <v>0.7</v>
      </c>
      <c r="G33" s="3351" t="s">
        <v>3538</v>
      </c>
      <c r="H33" s="3356"/>
      <c r="I33" s="3356"/>
      <c r="J33" s="3356"/>
      <c r="K33" s="3366"/>
    </row>
    <row r="34" spans="1:11" s="521" customFormat="1" ht="15.5" thickBot="1">
      <c r="A34" s="3368">
        <v>4</v>
      </c>
      <c r="B34" s="3369" t="s">
        <v>3595</v>
      </c>
      <c r="C34" s="3370">
        <f ca="1">C13-C15</f>
        <v>-5230</v>
      </c>
      <c r="D34" s="3369"/>
      <c r="E34" s="3369"/>
      <c r="F34" s="3371"/>
      <c r="G34" s="3372" t="s">
        <v>3623</v>
      </c>
      <c r="H34" s="3373"/>
      <c r="I34" s="3373"/>
      <c r="J34" s="3373"/>
      <c r="K34" s="337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6" t="s">
        <v>3516</v>
      </c>
      <c r="B1" s="3224"/>
      <c r="C1" s="2828"/>
      <c r="D1" s="93"/>
      <c r="E1" s="93"/>
      <c r="F1" s="93"/>
      <c r="G1" s="756">
        <f>MATCH(C1,'数据-取费表'!A6:A16,0)+5</f>
        <v>7</v>
      </c>
    </row>
    <row r="2" spans="1:7" s="95" customFormat="1" ht="15.5">
      <c r="A2" s="96" t="s">
        <v>1431</v>
      </c>
      <c r="B2" s="2522">
        <f ca="1">C34</f>
        <v>773</v>
      </c>
      <c r="C2" s="94" t="s">
        <v>1432</v>
      </c>
      <c r="D2" s="94"/>
      <c r="E2" s="2510"/>
      <c r="F2" s="94"/>
      <c r="G2" s="94"/>
    </row>
    <row r="3" spans="1:7" s="95" customFormat="1" ht="15.5">
      <c r="A3" s="98" t="s">
        <v>1433</v>
      </c>
      <c r="B3" s="2523">
        <f ca="1">ROUND(B2*10000/(IF(C1="",'数据-汇总表'!E3,INDIRECT("'数据-取费表'!k"&amp;$G$1))),0)</f>
        <v>644</v>
      </c>
      <c r="C3" s="94" t="s">
        <v>1434</v>
      </c>
      <c r="D3" s="94"/>
      <c r="E3" s="2510"/>
      <c r="F3" s="94"/>
      <c r="G3" s="94"/>
    </row>
    <row r="4" spans="1:7" s="95" customFormat="1" ht="15.5">
      <c r="A4" s="3386" t="s">
        <v>3630</v>
      </c>
      <c r="B4" s="2522">
        <f ca="1">ROUND(B2*10000/'数据-汇总表'!D3,0)</f>
        <v>7250</v>
      </c>
      <c r="C4" s="96" t="s">
        <v>3632</v>
      </c>
      <c r="D4" s="94"/>
      <c r="E4" s="2510"/>
      <c r="F4" s="94"/>
      <c r="G4" s="94"/>
    </row>
    <row r="5" spans="1:7" s="95" customFormat="1" ht="16" thickBot="1">
      <c r="A5" s="94"/>
      <c r="B5" s="3395">
        <f ca="1">ROUND(B2/('数据-汇总表'!D3/666.67),0)</f>
        <v>483</v>
      </c>
      <c r="C5" s="3380" t="s">
        <v>3631</v>
      </c>
      <c r="D5" s="94"/>
      <c r="E5" s="2510"/>
      <c r="F5" s="94"/>
      <c r="G5" s="94"/>
    </row>
    <row r="6" spans="1:7" s="95" customFormat="1" ht="15.5">
      <c r="A6" s="3268" t="s">
        <v>3329</v>
      </c>
      <c r="B6" s="3269" t="s">
        <v>3330</v>
      </c>
      <c r="C6" s="3270" t="s">
        <v>3953</v>
      </c>
      <c r="D6" s="3271" t="s">
        <v>3335</v>
      </c>
      <c r="E6" s="3272" t="s">
        <v>3336</v>
      </c>
      <c r="F6" s="3272" t="s">
        <v>3337</v>
      </c>
      <c r="G6" s="3273" t="s">
        <v>3331</v>
      </c>
    </row>
    <row r="7" spans="1:7" s="103" customFormat="1" ht="15.5">
      <c r="A7" s="3274" t="s">
        <v>3328</v>
      </c>
      <c r="B7" s="2503" t="s">
        <v>3575</v>
      </c>
      <c r="C7" s="2525">
        <f>IF(G7="征收国有地",C8,IF(G7="征收集体地",C11,C17))</f>
        <v>0</v>
      </c>
      <c r="D7" s="3256"/>
      <c r="E7" s="3256"/>
      <c r="F7" s="3256"/>
      <c r="G7" s="3331"/>
    </row>
    <row r="8" spans="1:7" s="109" customFormat="1" ht="13">
      <c r="A8" s="3275" t="s">
        <v>3599</v>
      </c>
      <c r="B8" s="3263" t="s">
        <v>3570</v>
      </c>
      <c r="C8" s="2562">
        <f>C9+C10</f>
        <v>0</v>
      </c>
      <c r="D8" s="3222"/>
      <c r="E8" s="3222"/>
      <c r="F8" s="3222"/>
      <c r="G8" s="3254"/>
    </row>
    <row r="9" spans="1:7" s="109" customFormat="1" ht="13">
      <c r="A9" s="2581" t="s">
        <v>1451</v>
      </c>
      <c r="B9" s="124" t="s">
        <v>3558</v>
      </c>
      <c r="C9" s="3407">
        <f>ROUND(D9*E9/10000,0)</f>
        <v>0</v>
      </c>
      <c r="D9" s="3252"/>
      <c r="E9" s="3252"/>
      <c r="F9" s="3222"/>
      <c r="G9" s="3276"/>
    </row>
    <row r="10" spans="1:7" s="109" customFormat="1" ht="13">
      <c r="A10" s="2581" t="s">
        <v>1453</v>
      </c>
      <c r="B10" s="124" t="s">
        <v>3559</v>
      </c>
      <c r="C10" s="3407">
        <f>ROUND(D10*E10/10000,0)</f>
        <v>0</v>
      </c>
      <c r="D10" s="3252"/>
      <c r="E10" s="3252"/>
      <c r="F10" s="3222"/>
      <c r="G10" s="3276"/>
    </row>
    <row r="11" spans="1:7" s="109" customFormat="1" ht="14">
      <c r="A11" s="3223" t="s">
        <v>3581</v>
      </c>
      <c r="B11" s="3326" t="s">
        <v>3571</v>
      </c>
      <c r="C11" s="136">
        <f>C12+C15+C16</f>
        <v>0</v>
      </c>
      <c r="D11" s="3222"/>
      <c r="E11" s="3222"/>
      <c r="F11" s="3222"/>
      <c r="G11" s="3276"/>
    </row>
    <row r="12" spans="1:7" s="109" customFormat="1" ht="13">
      <c r="A12" s="2581" t="s">
        <v>1451</v>
      </c>
      <c r="B12" s="124" t="s">
        <v>3560</v>
      </c>
      <c r="C12" s="124">
        <f>C13+C14</f>
        <v>0</v>
      </c>
      <c r="D12" s="994"/>
      <c r="E12" s="994"/>
      <c r="F12" s="3222"/>
      <c r="G12" s="3277" t="s">
        <v>3561</v>
      </c>
    </row>
    <row r="13" spans="1:7" s="109" customFormat="1" ht="13">
      <c r="A13" s="3327" t="s">
        <v>3583</v>
      </c>
      <c r="B13" s="3328" t="s">
        <v>3582</v>
      </c>
      <c r="C13" s="3407">
        <f>ROUND(D13*E13/10000,0)</f>
        <v>0</v>
      </c>
      <c r="D13" s="3252"/>
      <c r="E13" s="3252"/>
      <c r="F13" s="3222"/>
      <c r="G13" s="3278" t="s">
        <v>3663</v>
      </c>
    </row>
    <row r="14" spans="1:7" s="109" customFormat="1" ht="13">
      <c r="A14" s="3327" t="s">
        <v>3585</v>
      </c>
      <c r="B14" s="3328" t="s">
        <v>3584</v>
      </c>
      <c r="C14" s="3252">
        <v>0</v>
      </c>
      <c r="D14" s="994"/>
      <c r="E14" s="994"/>
      <c r="F14" s="3222"/>
      <c r="G14" s="3278"/>
    </row>
    <row r="15" spans="1:7" s="109" customFormat="1" ht="13">
      <c r="A15" s="2581" t="s">
        <v>1453</v>
      </c>
      <c r="B15" s="124" t="s">
        <v>3562</v>
      </c>
      <c r="C15" s="3407">
        <f t="shared" ref="C15" si="0">ROUND(D15*E15/10000,0)</f>
        <v>0</v>
      </c>
      <c r="D15" s="3252"/>
      <c r="E15" s="3252"/>
      <c r="F15" s="3222"/>
      <c r="G15" s="3278" t="s">
        <v>3563</v>
      </c>
    </row>
    <row r="16" spans="1:7" s="109" customFormat="1" ht="13">
      <c r="A16" s="2581" t="s">
        <v>3574</v>
      </c>
      <c r="B16" s="3264" t="s">
        <v>3564</v>
      </c>
      <c r="C16" s="3407">
        <f>C13*F16</f>
        <v>0</v>
      </c>
      <c r="D16" s="3252"/>
      <c r="E16" s="3252"/>
      <c r="F16" s="3408">
        <v>0.25</v>
      </c>
      <c r="G16" s="3341" t="s">
        <v>3565</v>
      </c>
    </row>
    <row r="17" spans="1:9" s="109" customFormat="1" ht="14">
      <c r="A17" s="3223" t="s">
        <v>337</v>
      </c>
      <c r="B17" s="3263" t="s">
        <v>3572</v>
      </c>
      <c r="C17" s="2521">
        <f>C18+C19</f>
        <v>0</v>
      </c>
      <c r="D17" s="3333"/>
      <c r="E17" s="3334"/>
      <c r="F17" s="2553"/>
      <c r="G17" s="3342"/>
    </row>
    <row r="18" spans="1:9" s="109" customFormat="1" ht="13">
      <c r="A18" s="3221" t="s">
        <v>347</v>
      </c>
      <c r="B18" s="3264" t="s">
        <v>1442</v>
      </c>
      <c r="C18" s="3020"/>
      <c r="D18" s="3335"/>
      <c r="E18" s="3334"/>
      <c r="F18" s="2552"/>
      <c r="G18" s="3409" t="s">
        <v>3664</v>
      </c>
    </row>
    <row r="19" spans="1:9" s="109" customFormat="1" ht="13">
      <c r="A19" s="3221" t="s">
        <v>1443</v>
      </c>
      <c r="B19" s="3264" t="s">
        <v>1444</v>
      </c>
      <c r="C19" s="2521">
        <f>ROUND(C18*F19,0)</f>
        <v>0</v>
      </c>
      <c r="D19" s="3333"/>
      <c r="E19" s="3334"/>
      <c r="F19" s="2553">
        <f>IF(项目基本情况!B8="出让",0,'数据-取费表'!B49+'数据-取费表'!B50)</f>
        <v>3.0499999999999999E-2</v>
      </c>
      <c r="G19" s="3342"/>
    </row>
    <row r="20" spans="1:9" s="2533" customFormat="1" ht="15.5">
      <c r="A20" s="3274" t="s">
        <v>3600</v>
      </c>
      <c r="B20" s="2503" t="s">
        <v>3573</v>
      </c>
      <c r="C20" s="2534">
        <f ca="1">C21+C24+C25</f>
        <v>1050</v>
      </c>
      <c r="D20" s="3336"/>
      <c r="E20" s="3337"/>
      <c r="F20" s="2557"/>
      <c r="G20" s="3343"/>
    </row>
    <row r="21" spans="1:9" s="118" customFormat="1" ht="14">
      <c r="A21" s="3279" t="s">
        <v>3596</v>
      </c>
      <c r="B21" s="3257" t="s">
        <v>3321</v>
      </c>
      <c r="C21" s="2562">
        <f ca="1">IF(G21="已包含在土地购买价格中","0",IF(C1="",'数据-取费表'!B29,IF(G22="全部缴纳",C22+C23,H22)))</f>
        <v>240</v>
      </c>
      <c r="D21" s="3338"/>
      <c r="E21" s="3339"/>
      <c r="F21" s="3253"/>
      <c r="G21" s="1338"/>
    </row>
    <row r="22" spans="1:9" s="109" customFormat="1" ht="13">
      <c r="A22" s="2505" t="s">
        <v>3579</v>
      </c>
      <c r="B22" s="3258" t="s">
        <v>1447</v>
      </c>
      <c r="C22" s="2561">
        <f ca="1">ROUND(D22*E22/10000,0)</f>
        <v>0</v>
      </c>
      <c r="D22" s="3250">
        <f ca="1">IF(C1="",'数据-汇总表'!E5,IF(INDIRECT("'数据-取费表'!c"&amp;$G$1)="住宅",INDIRECT("'数据-取费表'!k"&amp;$G$1),0))</f>
        <v>0</v>
      </c>
      <c r="E22" s="3250">
        <f>'数据-取费表'!B27</f>
        <v>0</v>
      </c>
      <c r="F22" s="2553"/>
      <c r="G22" s="1339"/>
      <c r="H22" s="762"/>
      <c r="I22" s="1340" t="s">
        <v>1448</v>
      </c>
    </row>
    <row r="23" spans="1:9" s="109" customFormat="1" ht="13">
      <c r="A23" s="2505" t="s">
        <v>3580</v>
      </c>
      <c r="B23" s="3258" t="s">
        <v>1449</v>
      </c>
      <c r="C23" s="2561">
        <f ca="1">ROUND(D23*E23/10000,0)</f>
        <v>240</v>
      </c>
      <c r="D23" s="3250">
        <f ca="1">IF(C1="",'数据-汇总表'!E6,IF(INDIRECT("'数据-取费表'!c"&amp;$G$1)="住宅",INDIRECT("'数据-取费表'!s"&amp;$G$1),INDIRECT("'数据-取费表'!k"&amp;$G$1)+INDIRECT("'数据-取费表'!s"&amp;$G$1)))</f>
        <v>12000.230000000001</v>
      </c>
      <c r="E23" s="3250">
        <f>'数据-取费表'!B28</f>
        <v>200</v>
      </c>
      <c r="F23" s="2553"/>
      <c r="G23" s="3344"/>
    </row>
    <row r="24" spans="1:9" s="109" customFormat="1" ht="14">
      <c r="A24" s="3223" t="s">
        <v>3581</v>
      </c>
      <c r="B24" s="3259" t="s">
        <v>3597</v>
      </c>
      <c r="C24" s="2562">
        <f ca="1">IF(G24="已包含在土地取得成本中","0",ROUND(D24*E24/10000,0))</f>
        <v>450</v>
      </c>
      <c r="D24" s="3251">
        <f ca="1">D22+D23</f>
        <v>12000.230000000001</v>
      </c>
      <c r="E24" s="3251">
        <f>'数据-取费表'!B31</f>
        <v>375</v>
      </c>
      <c r="F24" s="3260"/>
      <c r="G24" s="1338"/>
    </row>
    <row r="25" spans="1:9" s="109" customFormat="1" ht="14">
      <c r="A25" s="3223" t="s">
        <v>337</v>
      </c>
      <c r="B25" s="3259" t="s">
        <v>3598</v>
      </c>
      <c r="C25" s="2562">
        <f ca="1">ROUND(E25*D25/10000,0)</f>
        <v>360</v>
      </c>
      <c r="D25" s="3251">
        <f ca="1">D24</f>
        <v>12000.230000000001</v>
      </c>
      <c r="E25" s="3251">
        <f>'数据-取费表'!B35</f>
        <v>300</v>
      </c>
      <c r="F25" s="3253"/>
      <c r="G25" s="3345"/>
    </row>
    <row r="26" spans="1:9" s="103" customFormat="1" ht="15.5">
      <c r="A26" s="3274" t="s">
        <v>3601</v>
      </c>
      <c r="B26" s="2503" t="s">
        <v>3602</v>
      </c>
      <c r="C26" s="2522">
        <f>C27+C28</f>
        <v>0</v>
      </c>
      <c r="D26" s="3340"/>
      <c r="E26" s="3340"/>
      <c r="F26" s="3253"/>
      <c r="G26" s="3346"/>
    </row>
    <row r="27" spans="1:9" s="109" customFormat="1" ht="13">
      <c r="A27" s="3275" t="s">
        <v>3599</v>
      </c>
      <c r="B27" s="3261" t="s">
        <v>3566</v>
      </c>
      <c r="C27" s="2562">
        <f>ROUND(E27*D27/10000,0)</f>
        <v>0</v>
      </c>
      <c r="D27" s="3262"/>
      <c r="E27" s="3284">
        <v>25</v>
      </c>
      <c r="F27" s="3253"/>
      <c r="G27" s="3341" t="s">
        <v>3567</v>
      </c>
    </row>
    <row r="28" spans="1:9" s="109" customFormat="1" ht="13">
      <c r="A28" s="3280" t="s">
        <v>3581</v>
      </c>
      <c r="B28" s="3261" t="s">
        <v>3568</v>
      </c>
      <c r="C28" s="2562">
        <f>ROUND(E28*D28/10000,0)</f>
        <v>0</v>
      </c>
      <c r="D28" s="3262"/>
      <c r="E28" s="3284">
        <v>60.1</v>
      </c>
      <c r="F28" s="3253"/>
      <c r="G28" s="3341" t="s">
        <v>3569</v>
      </c>
    </row>
    <row r="29" spans="1:9" s="2533" customFormat="1" ht="15.5">
      <c r="A29" s="3274" t="s">
        <v>3603</v>
      </c>
      <c r="B29" s="2503" t="s">
        <v>3604</v>
      </c>
      <c r="C29" s="2513">
        <f ca="1">ROUND(IF('数据-取费表'!B19&lt;=1,((C7+C26)*'数据-取费表'!B19+C20*'数据-取费表'!B19/2)*F29,((C7+C26)*(POWER((1+F29),'数据-取费表'!B19)-1)+C20*(POWER((1+F29),'数据-取费表'!B19/2)-1))),0)</f>
        <v>0</v>
      </c>
      <c r="D29" s="2538"/>
      <c r="E29" s="296"/>
      <c r="F29" s="3255">
        <f ca="1">'数据-取费表'!B41</f>
        <v>3.1899999999999998E-2</v>
      </c>
      <c r="G29" s="3347" t="str">
        <f>IF('数据-取费表'!B19&lt;=1,"单利计息","复利计息")</f>
        <v>单利计息</v>
      </c>
    </row>
    <row r="30" spans="1:9" s="2533" customFormat="1" ht="15.5">
      <c r="A30" s="3274" t="s">
        <v>3605</v>
      </c>
      <c r="B30" s="2503" t="s">
        <v>3606</v>
      </c>
      <c r="C30" s="2540">
        <f ca="1">ROUND((C7+C20+C26)*F30,0)</f>
        <v>158</v>
      </c>
      <c r="D30" s="2538"/>
      <c r="E30" s="296"/>
      <c r="F30" s="3265">
        <f ca="1">IF(C1="",'数据-取费表'!Q16,INDIRECT("'数据-取费表'!q"&amp;$G$1))</f>
        <v>0.15</v>
      </c>
      <c r="G30" s="3347"/>
    </row>
    <row r="31" spans="1:9" s="109" customFormat="1" ht="15.5">
      <c r="A31" s="2504" t="s">
        <v>3586</v>
      </c>
      <c r="B31" s="2503" t="s">
        <v>3578</v>
      </c>
      <c r="C31" s="2525">
        <f ca="1">C7+C20+C29+C30</f>
        <v>1208</v>
      </c>
      <c r="D31" s="2516"/>
      <c r="E31" s="2516"/>
      <c r="F31" s="2515"/>
      <c r="G31" s="2517" t="s">
        <v>3609</v>
      </c>
    </row>
    <row r="32" spans="1:9" s="109" customFormat="1" ht="15.5">
      <c r="A32" s="2504" t="s">
        <v>3577</v>
      </c>
      <c r="B32" s="2503" t="s">
        <v>3576</v>
      </c>
      <c r="C32" s="3330">
        <f ca="1">ROUND(C31*F32,0)</f>
        <v>121</v>
      </c>
      <c r="D32" s="130"/>
      <c r="E32" s="131"/>
      <c r="F32" s="3266">
        <v>0.1</v>
      </c>
      <c r="G32" s="3348"/>
    </row>
    <row r="33" spans="1:14" s="109" customFormat="1" ht="15.5">
      <c r="A33" s="3329">
        <v>8</v>
      </c>
      <c r="B33" s="2503" t="s">
        <v>3588</v>
      </c>
      <c r="C33" s="2525">
        <f ca="1">C31+C32</f>
        <v>1329</v>
      </c>
      <c r="D33" s="2516"/>
      <c r="E33" s="2516"/>
      <c r="F33" s="3267"/>
      <c r="G33" s="2517" t="s">
        <v>3608</v>
      </c>
    </row>
    <row r="34" spans="1:14" s="118" customFormat="1" ht="16" thickBot="1">
      <c r="A34" s="3281">
        <v>9</v>
      </c>
      <c r="B34" s="3282" t="s">
        <v>3587</v>
      </c>
      <c r="C34" s="2525">
        <f ca="1">ROUND(C33*F34,0)</f>
        <v>773</v>
      </c>
      <c r="D34" s="3283"/>
      <c r="E34" s="3283"/>
      <c r="F34" s="3332">
        <f>'数据-取费表'!AS16</f>
        <v>0.58199999999999996</v>
      </c>
      <c r="G34" s="2517" t="s">
        <v>3610</v>
      </c>
    </row>
    <row r="35" spans="1:14" s="109" customFormat="1" ht="13"/>
    <row r="36" spans="1:14" s="109" customFormat="1" ht="13"/>
    <row r="41" spans="1:14" ht="13">
      <c r="J41" s="4232" t="s">
        <v>4063</v>
      </c>
    </row>
    <row r="42" spans="1:14" ht="13">
      <c r="J42" s="4232" t="s">
        <v>4060</v>
      </c>
    </row>
    <row r="43" spans="1:14">
      <c r="J43" s="4233" t="s">
        <v>3999</v>
      </c>
      <c r="K43" s="4233"/>
      <c r="L43" s="4234"/>
      <c r="M43" s="4234"/>
      <c r="N43" s="4234"/>
    </row>
    <row r="44" spans="1:14" ht="25">
      <c r="J44" s="4707" t="s">
        <v>4000</v>
      </c>
      <c r="K44" s="4708"/>
      <c r="L44" s="4709"/>
      <c r="M44" s="4235" t="s">
        <v>4001</v>
      </c>
      <c r="N44" s="4235" t="s">
        <v>4002</v>
      </c>
    </row>
    <row r="45" spans="1:14">
      <c r="J45" s="4707" t="s">
        <v>4003</v>
      </c>
      <c r="K45" s="4708"/>
      <c r="L45" s="4709"/>
      <c r="M45" s="4235" t="s">
        <v>4004</v>
      </c>
      <c r="N45" s="4704" t="s">
        <v>4005</v>
      </c>
    </row>
    <row r="46" spans="1:14">
      <c r="J46" s="4707" t="s">
        <v>4006</v>
      </c>
      <c r="K46" s="4708"/>
      <c r="L46" s="4709"/>
      <c r="M46" s="4710" t="s">
        <v>4007</v>
      </c>
      <c r="N46" s="4705"/>
    </row>
    <row r="47" spans="1:14">
      <c r="J47" s="4707" t="s">
        <v>4008</v>
      </c>
      <c r="K47" s="4708"/>
      <c r="L47" s="4709"/>
      <c r="M47" s="4711"/>
      <c r="N47" s="4705"/>
    </row>
    <row r="48" spans="1:14">
      <c r="J48" s="4704" t="s">
        <v>4019</v>
      </c>
      <c r="K48" s="4710"/>
      <c r="L48" s="4235" t="s">
        <v>4009</v>
      </c>
      <c r="M48" s="4710" t="s">
        <v>4010</v>
      </c>
      <c r="N48" s="4705"/>
    </row>
    <row r="49" spans="10:15">
      <c r="J49" s="4705"/>
      <c r="K49" s="4712"/>
      <c r="L49" s="4235" t="s">
        <v>4011</v>
      </c>
      <c r="M49" s="4712"/>
      <c r="N49" s="4705"/>
    </row>
    <row r="50" spans="10:15">
      <c r="J50" s="4705"/>
      <c r="K50" s="4711"/>
      <c r="L50" s="4235" t="s">
        <v>4012</v>
      </c>
      <c r="M50" s="4712"/>
      <c r="N50" s="4705"/>
    </row>
    <row r="51" spans="10:15">
      <c r="J51" s="4705"/>
      <c r="K51" s="4704" t="s">
        <v>4020</v>
      </c>
      <c r="L51" s="4235" t="s">
        <v>4013</v>
      </c>
      <c r="M51" s="4712"/>
      <c r="N51" s="4705"/>
    </row>
    <row r="52" spans="10:15">
      <c r="J52" s="4706"/>
      <c r="K52" s="4705"/>
      <c r="L52" s="4235" t="s">
        <v>4021</v>
      </c>
      <c r="M52" s="4712"/>
      <c r="N52" s="4705"/>
    </row>
    <row r="53" spans="10:15">
      <c r="J53" s="4710"/>
      <c r="K53" s="4705"/>
      <c r="L53" s="4235" t="s">
        <v>4022</v>
      </c>
      <c r="M53" s="4712"/>
      <c r="N53" s="4705"/>
    </row>
    <row r="54" spans="10:15">
      <c r="J54" s="4712"/>
      <c r="K54" s="4705"/>
      <c r="L54" s="4235" t="s">
        <v>4014</v>
      </c>
      <c r="M54" s="4712"/>
      <c r="N54" s="4705"/>
    </row>
    <row r="55" spans="10:15">
      <c r="J55" s="4712"/>
      <c r="K55" s="4705"/>
      <c r="L55" s="4235" t="s">
        <v>4015</v>
      </c>
      <c r="M55" s="4712"/>
      <c r="N55" s="4705"/>
    </row>
    <row r="56" spans="10:15">
      <c r="J56" s="4712"/>
      <c r="K56" s="4705"/>
      <c r="L56" s="4235" t="s">
        <v>4016</v>
      </c>
      <c r="M56" s="4711"/>
      <c r="N56" s="4705"/>
    </row>
    <row r="57" spans="10:15">
      <c r="J57" s="4711"/>
      <c r="K57" s="4706"/>
      <c r="L57" s="4235" t="s">
        <v>4017</v>
      </c>
      <c r="M57" s="4236" t="s">
        <v>4018</v>
      </c>
      <c r="N57" s="4706"/>
    </row>
    <row r="60" spans="10:15">
      <c r="J60" s="4234" t="s">
        <v>4023</v>
      </c>
      <c r="K60" s="4234"/>
      <c r="L60" s="4234"/>
      <c r="M60" s="4234"/>
      <c r="N60" s="4234"/>
      <c r="O60" s="4234"/>
    </row>
    <row r="61" spans="10:15">
      <c r="J61" s="4233" t="s">
        <v>4024</v>
      </c>
      <c r="K61" s="4233" t="s">
        <v>4025</v>
      </c>
      <c r="L61" s="4233" t="s">
        <v>4026</v>
      </c>
      <c r="M61" s="4233" t="s">
        <v>4027</v>
      </c>
      <c r="N61" s="4233" t="s">
        <v>4028</v>
      </c>
      <c r="O61" s="4233" t="s">
        <v>4020</v>
      </c>
    </row>
    <row r="62" spans="10:15" ht="13">
      <c r="J62" s="4233" t="s">
        <v>4029</v>
      </c>
      <c r="K62" s="4237" t="s">
        <v>4062</v>
      </c>
      <c r="L62" s="4233" t="s">
        <v>4030</v>
      </c>
      <c r="M62" s="4233" t="s">
        <v>4030</v>
      </c>
      <c r="N62" s="4233" t="s">
        <v>4031</v>
      </c>
      <c r="O62" s="4233" t="s">
        <v>4031</v>
      </c>
    </row>
    <row r="63" spans="10:15">
      <c r="J63" s="4233" t="s">
        <v>4032</v>
      </c>
      <c r="K63" s="4233" t="s">
        <v>4033</v>
      </c>
      <c r="L63" s="4233" t="s">
        <v>4034</v>
      </c>
      <c r="M63" s="4233" t="s">
        <v>4034</v>
      </c>
      <c r="N63" s="4233" t="s">
        <v>4035</v>
      </c>
      <c r="O63" s="4233" t="s">
        <v>4035</v>
      </c>
    </row>
    <row r="67" spans="10:15">
      <c r="J67" s="4234" t="s">
        <v>4036</v>
      </c>
      <c r="K67" s="4234"/>
      <c r="L67" s="4234"/>
      <c r="M67" s="4234"/>
      <c r="N67" s="4234"/>
      <c r="O67" s="4234"/>
    </row>
    <row r="68" spans="10:15">
      <c r="J68" s="4233" t="s">
        <v>4024</v>
      </c>
      <c r="K68" s="4233" t="s">
        <v>4037</v>
      </c>
      <c r="L68" s="4714" t="s">
        <v>4038</v>
      </c>
      <c r="M68" s="4714"/>
      <c r="N68" s="4714"/>
      <c r="O68" s="4233" t="s">
        <v>4002</v>
      </c>
    </row>
    <row r="69" spans="10:15" ht="25">
      <c r="J69" s="4233" t="s">
        <v>4039</v>
      </c>
      <c r="K69" s="4238" t="s">
        <v>4040</v>
      </c>
      <c r="L69" s="4713" t="s">
        <v>4041</v>
      </c>
      <c r="M69" s="4713"/>
      <c r="N69" s="4713"/>
      <c r="O69" s="4233"/>
    </row>
    <row r="70" spans="10:15" ht="25">
      <c r="J70" s="4233" t="s">
        <v>4042</v>
      </c>
      <c r="K70" s="4238" t="s">
        <v>4043</v>
      </c>
      <c r="L70" s="4713" t="s">
        <v>4044</v>
      </c>
      <c r="M70" s="4713"/>
      <c r="N70" s="4713"/>
      <c r="O70" s="4233"/>
    </row>
    <row r="71" spans="10:15" ht="25">
      <c r="J71" s="4233" t="s">
        <v>4045</v>
      </c>
      <c r="K71" s="4238" t="s">
        <v>4046</v>
      </c>
      <c r="L71" s="4713" t="s">
        <v>4047</v>
      </c>
      <c r="M71" s="4713"/>
      <c r="N71" s="4713"/>
      <c r="O71" s="4233"/>
    </row>
    <row r="72" spans="10:15" ht="27" customHeight="1">
      <c r="J72" s="4233" t="s">
        <v>4048</v>
      </c>
      <c r="K72" s="4238" t="s">
        <v>4049</v>
      </c>
      <c r="L72" s="4713" t="s">
        <v>4061</v>
      </c>
      <c r="M72" s="4713"/>
      <c r="N72" s="4713"/>
      <c r="O72" s="4233"/>
    </row>
    <row r="73" spans="10:15" ht="30" customHeight="1">
      <c r="J73" s="4233" t="s">
        <v>4050</v>
      </c>
      <c r="K73" s="4238" t="s">
        <v>4051</v>
      </c>
      <c r="L73" s="4713" t="s">
        <v>4052</v>
      </c>
      <c r="M73" s="4713"/>
      <c r="N73" s="4713"/>
      <c r="O73" s="4233" t="s">
        <v>2204</v>
      </c>
    </row>
    <row r="74" spans="10:15" ht="57.75" customHeight="1">
      <c r="J74" s="4233" t="s">
        <v>4053</v>
      </c>
      <c r="K74" s="4238" t="s">
        <v>4054</v>
      </c>
      <c r="L74" s="4713" t="s">
        <v>4055</v>
      </c>
      <c r="M74" s="4713"/>
      <c r="N74" s="4713"/>
      <c r="O74" s="4233" t="s">
        <v>4056</v>
      </c>
    </row>
    <row r="75" spans="10:15" ht="32.25" customHeight="1">
      <c r="J75" s="4233" t="s">
        <v>4057</v>
      </c>
      <c r="K75" s="4238" t="s">
        <v>4058</v>
      </c>
      <c r="L75" s="4713" t="s">
        <v>4059</v>
      </c>
      <c r="M75" s="4713"/>
      <c r="N75" s="4713"/>
      <c r="O75" s="423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8" customWidth="1"/>
    <col min="14" max="14" width="10" style="2228" customWidth="1"/>
    <col min="15" max="16" width="8.26953125" style="2228"/>
    <col min="17" max="17" width="34.08984375" style="2228" customWidth="1"/>
    <col min="18" max="18" width="8.26953125" style="2228" customWidth="1"/>
    <col min="19" max="19" width="8.26953125" style="2228"/>
    <col min="20" max="20" width="11.6328125" style="2228" customWidth="1"/>
    <col min="21" max="16384" width="8.2695312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2497</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2498</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2499</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2500</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2501</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2502</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2503</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2504</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2505</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2506</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2507</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2508</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2509</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2510</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2511</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4726" t="s">
        <v>2496</v>
      </c>
      <c r="B20" s="4719" t="s">
        <v>2517</v>
      </c>
      <c r="C20" s="2492" t="s">
        <v>2328</v>
      </c>
      <c r="D20" s="2492"/>
      <c r="E20" s="3055">
        <v>1</v>
      </c>
      <c r="F20" s="2246" t="s">
        <v>2329</v>
      </c>
      <c r="G20" s="2246"/>
    </row>
    <row r="21" spans="1:13" ht="19.5" customHeight="1">
      <c r="A21" s="4727"/>
      <c r="B21" s="4715"/>
      <c r="C21" s="2255" t="s">
        <v>2330</v>
      </c>
      <c r="D21" s="2255"/>
      <c r="E21" s="3056">
        <v>1</v>
      </c>
      <c r="F21" s="2246" t="s">
        <v>2331</v>
      </c>
      <c r="G21" s="2246"/>
    </row>
    <row r="22" spans="1:13" ht="19.5" customHeight="1">
      <c r="A22" s="4727"/>
      <c r="B22" s="4715"/>
      <c r="C22" s="2255" t="s">
        <v>2332</v>
      </c>
      <c r="D22" s="2255"/>
      <c r="E22" s="3056">
        <v>0.9</v>
      </c>
      <c r="F22" s="2246" t="s">
        <v>2333</v>
      </c>
      <c r="G22" s="2246"/>
    </row>
    <row r="23" spans="1:13" ht="19.5" customHeight="1">
      <c r="A23" s="4727"/>
      <c r="B23" s="4715"/>
      <c r="C23" s="2255" t="s">
        <v>2334</v>
      </c>
      <c r="D23" s="2255"/>
      <c r="E23" s="3056">
        <v>0.9</v>
      </c>
      <c r="F23" s="2246" t="s">
        <v>2335</v>
      </c>
      <c r="G23" s="2246"/>
    </row>
    <row r="24" spans="1:13" ht="19.5" customHeight="1">
      <c r="A24" s="4727"/>
      <c r="B24" s="4715"/>
      <c r="C24" s="2255" t="s">
        <v>2336</v>
      </c>
      <c r="D24" s="2255"/>
      <c r="E24" s="3056">
        <v>0.8</v>
      </c>
      <c r="F24" s="2246" t="s">
        <v>2337</v>
      </c>
      <c r="G24" s="2246"/>
    </row>
    <row r="25" spans="1:13" ht="19.5" customHeight="1">
      <c r="A25" s="4727"/>
      <c r="B25" s="4715"/>
      <c r="C25" s="2255" t="s">
        <v>2338</v>
      </c>
      <c r="D25" s="2255"/>
      <c r="E25" s="3056">
        <v>0.8</v>
      </c>
      <c r="F25" s="2246"/>
      <c r="G25" s="2246"/>
    </row>
    <row r="26" spans="1:13" ht="19.5" customHeight="1">
      <c r="A26" s="4727"/>
      <c r="B26" s="4715"/>
      <c r="C26" s="2255" t="s">
        <v>3277</v>
      </c>
      <c r="D26" s="2255"/>
      <c r="E26" s="3056">
        <v>0.43</v>
      </c>
      <c r="F26" s="2246"/>
      <c r="G26" s="2246"/>
    </row>
    <row r="27" spans="1:13" ht="19.5" customHeight="1" thickBot="1">
      <c r="A27" s="4728"/>
      <c r="B27" s="4720"/>
      <c r="C27" s="2489" t="s">
        <v>3278</v>
      </c>
      <c r="D27" s="2489"/>
      <c r="E27" s="3057">
        <f>E26*0.9</f>
        <v>0.38700000000000001</v>
      </c>
      <c r="F27" s="2246" t="s">
        <v>2339</v>
      </c>
      <c r="G27" s="2246"/>
    </row>
    <row r="28" spans="1:13" ht="19.5" customHeight="1" thickBot="1">
      <c r="A28" s="2488" t="s">
        <v>2518</v>
      </c>
      <c r="B28" s="2487" t="s">
        <v>2517</v>
      </c>
      <c r="C28" s="2490" t="s">
        <v>2519</v>
      </c>
      <c r="D28" s="2491"/>
      <c r="E28" s="3058">
        <v>1</v>
      </c>
      <c r="F28" s="2246" t="s">
        <v>2340</v>
      </c>
      <c r="G28" s="2246"/>
    </row>
    <row r="29" spans="1:13" ht="19.5" customHeight="1">
      <c r="A29" s="4721" t="s">
        <v>2520</v>
      </c>
      <c r="B29" s="4724" t="s">
        <v>2501</v>
      </c>
      <c r="C29" s="2244" t="s">
        <v>2341</v>
      </c>
      <c r="D29" s="2245"/>
      <c r="E29" s="3055">
        <v>1</v>
      </c>
      <c r="F29" s="2246" t="s">
        <v>2342</v>
      </c>
      <c r="G29" s="2246"/>
    </row>
    <row r="30" spans="1:13" ht="19.5" customHeight="1">
      <c r="A30" s="4722"/>
      <c r="B30" s="4718"/>
      <c r="C30" s="2247" t="s">
        <v>2343</v>
      </c>
      <c r="D30" s="2248"/>
      <c r="E30" s="3056">
        <v>1</v>
      </c>
      <c r="F30" s="2246" t="s">
        <v>2344</v>
      </c>
      <c r="G30" s="2246"/>
    </row>
    <row r="31" spans="1:13" ht="19.5" customHeight="1">
      <c r="A31" s="4722"/>
      <c r="B31" s="4718"/>
      <c r="C31" s="2247" t="s">
        <v>2345</v>
      </c>
      <c r="D31" s="2248"/>
      <c r="E31" s="3056">
        <v>0.8</v>
      </c>
      <c r="F31" s="2246" t="s">
        <v>2346</v>
      </c>
      <c r="G31" s="2246"/>
    </row>
    <row r="32" spans="1:13" ht="19.5" customHeight="1">
      <c r="A32" s="4722"/>
      <c r="B32" s="4718"/>
      <c r="C32" s="2247" t="s">
        <v>2347</v>
      </c>
      <c r="D32" s="2248"/>
      <c r="E32" s="3056">
        <v>0.8</v>
      </c>
      <c r="F32" s="2246" t="s">
        <v>2348</v>
      </c>
      <c r="G32" s="2246"/>
    </row>
    <row r="33" spans="1:7" ht="19.5" customHeight="1">
      <c r="A33" s="4722"/>
      <c r="B33" s="4718"/>
      <c r="C33" s="2247" t="s">
        <v>2349</v>
      </c>
      <c r="D33" s="2248"/>
      <c r="E33" s="3056">
        <v>0.8</v>
      </c>
      <c r="F33" s="2246" t="s">
        <v>2350</v>
      </c>
      <c r="G33" s="2246"/>
    </row>
    <row r="34" spans="1:7" ht="19.5" customHeight="1">
      <c r="A34" s="4722"/>
      <c r="B34" s="4718"/>
      <c r="C34" s="2247" t="s">
        <v>2351</v>
      </c>
      <c r="D34" s="2248"/>
      <c r="E34" s="3056">
        <v>0.7</v>
      </c>
      <c r="F34" s="2246" t="s">
        <v>2352</v>
      </c>
      <c r="G34" s="2246"/>
    </row>
    <row r="35" spans="1:7" ht="19.5" customHeight="1">
      <c r="A35" s="4722"/>
      <c r="B35" s="4718"/>
      <c r="C35" s="2247" t="s">
        <v>2353</v>
      </c>
      <c r="D35" s="2248"/>
      <c r="E35" s="3056">
        <v>0.8</v>
      </c>
      <c r="F35" s="2246" t="s">
        <v>2354</v>
      </c>
      <c r="G35" s="2246"/>
    </row>
    <row r="36" spans="1:7" ht="19.5" customHeight="1">
      <c r="A36" s="4722"/>
      <c r="B36" s="4718"/>
      <c r="C36" s="2247" t="s">
        <v>2355</v>
      </c>
      <c r="D36" s="2248"/>
      <c r="E36" s="3056">
        <v>0.6</v>
      </c>
      <c r="F36" s="2246" t="s">
        <v>2356</v>
      </c>
      <c r="G36" s="2246"/>
    </row>
    <row r="37" spans="1:7" ht="19.5" customHeight="1">
      <c r="A37" s="4722"/>
      <c r="B37" s="4718"/>
      <c r="C37" s="2247" t="s">
        <v>2357</v>
      </c>
      <c r="D37" s="2248"/>
      <c r="E37" s="3056">
        <v>0.2</v>
      </c>
      <c r="F37" s="2246" t="s">
        <v>2358</v>
      </c>
      <c r="G37" s="2246"/>
    </row>
    <row r="38" spans="1:7" ht="19.5" customHeight="1">
      <c r="A38" s="4722"/>
      <c r="B38" s="4718"/>
      <c r="C38" s="2247" t="s">
        <v>2359</v>
      </c>
      <c r="D38" s="2248"/>
      <c r="E38" s="3056">
        <v>0.2</v>
      </c>
      <c r="F38" s="2246" t="s">
        <v>2360</v>
      </c>
      <c r="G38" s="2246"/>
    </row>
    <row r="39" spans="1:7" ht="19.5" customHeight="1">
      <c r="A39" s="4722"/>
      <c r="B39" s="4716" t="s">
        <v>2521</v>
      </c>
      <c r="C39" s="2247" t="s">
        <v>2361</v>
      </c>
      <c r="D39" s="2248"/>
      <c r="E39" s="3056">
        <v>0.6</v>
      </c>
      <c r="F39" s="2246" t="s">
        <v>2362</v>
      </c>
      <c r="G39" s="2246"/>
    </row>
    <row r="40" spans="1:7" ht="19.5" customHeight="1">
      <c r="A40" s="4722"/>
      <c r="B40" s="4718"/>
      <c r="C40" s="2247" t="s">
        <v>2363</v>
      </c>
      <c r="D40" s="2248"/>
      <c r="E40" s="3056">
        <v>0.6</v>
      </c>
      <c r="F40" s="2246" t="s">
        <v>2364</v>
      </c>
      <c r="G40" s="2246"/>
    </row>
    <row r="41" spans="1:7" ht="19.5" customHeight="1" thickBot="1">
      <c r="A41" s="4723"/>
      <c r="B41" s="4725"/>
      <c r="C41" s="2249" t="s">
        <v>2365</v>
      </c>
      <c r="D41" s="2250"/>
      <c r="E41" s="3057">
        <v>0.6</v>
      </c>
      <c r="F41" s="2246" t="s">
        <v>2366</v>
      </c>
      <c r="G41" s="2246"/>
    </row>
    <row r="42" spans="1:7" ht="19.5" customHeight="1" thickBot="1">
      <c r="A42" s="2251" t="s">
        <v>2498</v>
      </c>
      <c r="B42" s="2252" t="s">
        <v>2498</v>
      </c>
      <c r="C42" s="2253" t="s">
        <v>2522</v>
      </c>
      <c r="D42" s="2254"/>
      <c r="E42" s="3059">
        <v>1</v>
      </c>
      <c r="F42" s="2246" t="s">
        <v>2367</v>
      </c>
      <c r="G42" s="2246"/>
    </row>
    <row r="43" spans="1:7" ht="19.5" customHeight="1">
      <c r="A43" s="4726" t="s">
        <v>2499</v>
      </c>
      <c r="B43" s="4724" t="s">
        <v>2523</v>
      </c>
      <c r="C43" s="2244" t="s">
        <v>2368</v>
      </c>
      <c r="D43" s="2245"/>
      <c r="E43" s="3055">
        <v>1</v>
      </c>
      <c r="F43" s="2246" t="s">
        <v>2369</v>
      </c>
      <c r="G43" s="2246"/>
    </row>
    <row r="44" spans="1:7" ht="19.5" customHeight="1">
      <c r="A44" s="4727"/>
      <c r="B44" s="4718"/>
      <c r="C44" s="2247" t="s">
        <v>2370</v>
      </c>
      <c r="D44" s="2248"/>
      <c r="E44" s="3056">
        <v>1</v>
      </c>
      <c r="F44" s="2246" t="s">
        <v>2371</v>
      </c>
      <c r="G44" s="2246"/>
    </row>
    <row r="45" spans="1:7" ht="19.5" customHeight="1">
      <c r="A45" s="4727"/>
      <c r="B45" s="4717"/>
      <c r="C45" s="2247" t="s">
        <v>2372</v>
      </c>
      <c r="D45" s="2248"/>
      <c r="E45" s="3056">
        <v>1.5</v>
      </c>
      <c r="F45" s="2246" t="s">
        <v>2373</v>
      </c>
      <c r="G45" s="2246"/>
    </row>
    <row r="46" spans="1:7" ht="19.5" customHeight="1">
      <c r="A46" s="4727"/>
      <c r="B46" s="2255" t="s">
        <v>2524</v>
      </c>
      <c r="C46" s="2247" t="s">
        <v>2525</v>
      </c>
      <c r="D46" s="2248"/>
      <c r="E46" s="3056">
        <v>2</v>
      </c>
      <c r="F46" s="2246" t="s">
        <v>2374</v>
      </c>
      <c r="G46" s="2246"/>
    </row>
    <row r="47" spans="1:7" ht="19.5" customHeight="1">
      <c r="A47" s="4727"/>
      <c r="B47" s="4716" t="s">
        <v>2526</v>
      </c>
      <c r="C47" s="2247" t="s">
        <v>2375</v>
      </c>
      <c r="D47" s="2248"/>
      <c r="E47" s="3056">
        <v>1</v>
      </c>
      <c r="F47" s="2246" t="s">
        <v>2376</v>
      </c>
      <c r="G47" s="2246"/>
    </row>
    <row r="48" spans="1:7" ht="19.5" customHeight="1">
      <c r="A48" s="4727"/>
      <c r="B48" s="4718"/>
      <c r="C48" s="2247" t="s">
        <v>2377</v>
      </c>
      <c r="D48" s="2248"/>
      <c r="E48" s="3056">
        <v>1</v>
      </c>
      <c r="F48" s="2246" t="s">
        <v>2378</v>
      </c>
      <c r="G48" s="2246"/>
    </row>
    <row r="49" spans="1:7" ht="19.5" customHeight="1">
      <c r="A49" s="4727"/>
      <c r="B49" s="4718"/>
      <c r="C49" s="2247" t="s">
        <v>2379</v>
      </c>
      <c r="D49" s="2248"/>
      <c r="E49" s="3056">
        <v>1</v>
      </c>
      <c r="F49" s="2246" t="s">
        <v>2380</v>
      </c>
      <c r="G49" s="2246"/>
    </row>
    <row r="50" spans="1:7" ht="19.5" customHeight="1">
      <c r="A50" s="4727"/>
      <c r="B50" s="4718"/>
      <c r="C50" s="2247" t="s">
        <v>2381</v>
      </c>
      <c r="D50" s="2248"/>
      <c r="E50" s="3056">
        <v>1</v>
      </c>
      <c r="F50" s="2246" t="s">
        <v>2382</v>
      </c>
      <c r="G50" s="2246"/>
    </row>
    <row r="51" spans="1:7" ht="19.5" customHeight="1">
      <c r="A51" s="4727"/>
      <c r="B51" s="4718"/>
      <c r="C51" s="2247" t="s">
        <v>2383</v>
      </c>
      <c r="D51" s="2248"/>
      <c r="E51" s="3056">
        <v>1</v>
      </c>
      <c r="F51" s="2246" t="s">
        <v>2384</v>
      </c>
      <c r="G51" s="2246"/>
    </row>
    <row r="52" spans="1:7" ht="19.5" customHeight="1">
      <c r="A52" s="4727"/>
      <c r="B52" s="4718"/>
      <c r="C52" s="2247" t="s">
        <v>2385</v>
      </c>
      <c r="D52" s="2248"/>
      <c r="E52" s="3056">
        <v>1</v>
      </c>
      <c r="F52" s="2246" t="s">
        <v>2386</v>
      </c>
      <c r="G52" s="2246"/>
    </row>
    <row r="53" spans="1:7" ht="19.5" customHeight="1" thickBot="1">
      <c r="A53" s="4728"/>
      <c r="B53" s="4725"/>
      <c r="C53" s="2249" t="s">
        <v>2387</v>
      </c>
      <c r="D53" s="2250"/>
      <c r="E53" s="3057">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50">
        <v>1</v>
      </c>
      <c r="C58" s="3050">
        <v>2</v>
      </c>
      <c r="D58" s="3050">
        <v>3</v>
      </c>
      <c r="E58" s="2260" t="s">
        <v>2531</v>
      </c>
      <c r="F58" s="2260" t="s">
        <v>2531</v>
      </c>
      <c r="G58" s="2260" t="s">
        <v>2531</v>
      </c>
    </row>
    <row r="59" spans="1:7" ht="19.5" customHeight="1">
      <c r="A59" s="2261" t="s">
        <v>2484</v>
      </c>
      <c r="B59" s="3047">
        <v>0.7</v>
      </c>
      <c r="C59" s="3047">
        <v>0.4</v>
      </c>
      <c r="D59" s="3047">
        <v>0.3</v>
      </c>
      <c r="E59" s="3060">
        <v>0.3</v>
      </c>
      <c r="F59" s="3047">
        <v>0.3</v>
      </c>
      <c r="G59" s="3047">
        <v>0.2</v>
      </c>
    </row>
    <row r="60" spans="1:7" ht="19.5" customHeight="1">
      <c r="A60" s="2261" t="s">
        <v>2485</v>
      </c>
      <c r="B60" s="3047">
        <v>0.7</v>
      </c>
      <c r="C60" s="3047">
        <v>0.4</v>
      </c>
      <c r="D60" s="3047">
        <v>0.3</v>
      </c>
      <c r="E60" s="3047">
        <v>0.3</v>
      </c>
      <c r="F60" s="3047">
        <v>0.3</v>
      </c>
      <c r="G60" s="3047">
        <v>0.2</v>
      </c>
    </row>
    <row r="61" spans="1:7" ht="19.5" customHeight="1">
      <c r="A61" s="2261" t="s">
        <v>2486</v>
      </c>
      <c r="B61" s="3047">
        <v>0.6</v>
      </c>
      <c r="C61" s="3047">
        <v>0.3</v>
      </c>
      <c r="D61" s="3047">
        <v>0.25</v>
      </c>
      <c r="E61" s="3047">
        <v>0.25</v>
      </c>
      <c r="F61" s="3047">
        <v>0.25</v>
      </c>
      <c r="G61" s="3047">
        <v>0.15</v>
      </c>
    </row>
    <row r="62" spans="1:7" ht="19.5" customHeight="1">
      <c r="A62" s="2261" t="s">
        <v>2487</v>
      </c>
      <c r="B62" s="3047">
        <v>0.6</v>
      </c>
      <c r="C62" s="3047">
        <v>0.3</v>
      </c>
      <c r="D62" s="3047">
        <v>0.25</v>
      </c>
      <c r="E62" s="3047">
        <v>0.25</v>
      </c>
      <c r="F62" s="3047">
        <v>0.25</v>
      </c>
      <c r="G62" s="3047">
        <v>0.15</v>
      </c>
    </row>
    <row r="63" spans="1:7" ht="19.5" customHeight="1">
      <c r="A63" s="2261" t="s">
        <v>2488</v>
      </c>
      <c r="B63" s="3047">
        <v>0.6</v>
      </c>
      <c r="C63" s="3047">
        <v>0.3</v>
      </c>
      <c r="D63" s="3047">
        <v>0.25</v>
      </c>
      <c r="E63" s="3047">
        <v>0.25</v>
      </c>
      <c r="F63" s="3047">
        <v>0.25</v>
      </c>
      <c r="G63" s="3047">
        <v>0.15</v>
      </c>
    </row>
    <row r="64" spans="1:7" ht="19.5" customHeight="1">
      <c r="A64" s="2261" t="s">
        <v>2489</v>
      </c>
      <c r="B64" s="3047">
        <v>0.6</v>
      </c>
      <c r="C64" s="3047">
        <v>0.3</v>
      </c>
      <c r="D64" s="3047">
        <v>0.25</v>
      </c>
      <c r="E64" s="3047">
        <v>0.25</v>
      </c>
      <c r="F64" s="3047">
        <v>0.25</v>
      </c>
      <c r="G64" s="3047">
        <v>0.15</v>
      </c>
    </row>
    <row r="65" spans="1:7" ht="19.5" customHeight="1">
      <c r="A65" s="2261" t="s">
        <v>2490</v>
      </c>
      <c r="B65" s="3047">
        <v>0.6</v>
      </c>
      <c r="C65" s="3047">
        <v>0.3</v>
      </c>
      <c r="D65" s="3047">
        <v>0.25</v>
      </c>
      <c r="E65" s="3047">
        <v>0.25</v>
      </c>
      <c r="F65" s="3047">
        <v>0.25</v>
      </c>
      <c r="G65" s="3047">
        <v>0.15</v>
      </c>
    </row>
    <row r="66" spans="1:7" ht="19.5" customHeight="1">
      <c r="A66" s="2261" t="s">
        <v>2491</v>
      </c>
      <c r="B66" s="3047">
        <v>0.5</v>
      </c>
      <c r="C66" s="3047">
        <v>0.2</v>
      </c>
      <c r="D66" s="3047">
        <v>0.2</v>
      </c>
      <c r="E66" s="3047">
        <v>0.2</v>
      </c>
      <c r="F66" s="3047">
        <v>0.2</v>
      </c>
      <c r="G66" s="3047">
        <v>0.1</v>
      </c>
    </row>
    <row r="67" spans="1:7" ht="19.5" customHeight="1">
      <c r="A67" s="2261" t="s">
        <v>2492</v>
      </c>
      <c r="B67" s="3047">
        <v>0.5</v>
      </c>
      <c r="C67" s="3047">
        <v>0.2</v>
      </c>
      <c r="D67" s="3047">
        <v>0.2</v>
      </c>
      <c r="E67" s="3047">
        <v>0.2</v>
      </c>
      <c r="F67" s="3047">
        <v>0.2</v>
      </c>
      <c r="G67" s="3047">
        <v>0.1</v>
      </c>
    </row>
    <row r="68" spans="1:7" ht="19.5" customHeight="1">
      <c r="A68" s="2261" t="s">
        <v>2493</v>
      </c>
      <c r="B68" s="3047">
        <v>0.5</v>
      </c>
      <c r="C68" s="3047">
        <v>0.2</v>
      </c>
      <c r="D68" s="3047">
        <v>0.2</v>
      </c>
      <c r="E68" s="3047">
        <v>0.2</v>
      </c>
      <c r="F68" s="3047">
        <v>0.2</v>
      </c>
      <c r="G68" s="3047">
        <v>0.1</v>
      </c>
    </row>
    <row r="69" spans="1:7" ht="19.5" customHeight="1">
      <c r="A69" s="2261" t="s">
        <v>2494</v>
      </c>
      <c r="B69" s="3047">
        <v>0.5</v>
      </c>
      <c r="C69" s="3047">
        <v>0.2</v>
      </c>
      <c r="D69" s="3047">
        <v>0.2</v>
      </c>
      <c r="E69" s="3047">
        <v>0.2</v>
      </c>
      <c r="F69" s="3047">
        <v>0.2</v>
      </c>
      <c r="G69" s="3047">
        <v>0.1</v>
      </c>
    </row>
    <row r="70" spans="1:7" ht="19.5" customHeight="1">
      <c r="A70" s="2261" t="s">
        <v>2495</v>
      </c>
      <c r="B70" s="3047">
        <v>0.5</v>
      </c>
      <c r="C70" s="3047">
        <v>0.2</v>
      </c>
      <c r="D70" s="3047">
        <v>0.2</v>
      </c>
      <c r="E70" s="3047">
        <v>0.2</v>
      </c>
      <c r="F70" s="3047">
        <v>0.2</v>
      </c>
      <c r="G70" s="3047">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4">
      <c r="A74" s="2255"/>
      <c r="B74" s="2255"/>
      <c r="C74" s="2255" t="s">
        <v>2539</v>
      </c>
      <c r="D74" s="2255"/>
      <c r="E74" s="2255" t="s">
        <v>2510</v>
      </c>
      <c r="F74" s="2255" t="s">
        <v>2510</v>
      </c>
    </row>
    <row r="75" spans="1:7" ht="14">
      <c r="A75" s="2255">
        <v>1</v>
      </c>
      <c r="B75" s="4716" t="s">
        <v>2540</v>
      </c>
      <c r="C75" s="2235" t="s">
        <v>2541</v>
      </c>
      <c r="D75" s="2235" t="s">
        <v>2542</v>
      </c>
      <c r="E75" s="3061">
        <v>0.2</v>
      </c>
      <c r="F75" s="3062">
        <v>25</v>
      </c>
    </row>
    <row r="76" spans="1:7" ht="26">
      <c r="A76" s="2255">
        <v>2</v>
      </c>
      <c r="B76" s="4718"/>
      <c r="C76" s="2235" t="s">
        <v>2543</v>
      </c>
      <c r="D76" s="2235" t="s">
        <v>2544</v>
      </c>
      <c r="E76" s="3061">
        <v>0.2</v>
      </c>
      <c r="F76" s="3062">
        <v>25</v>
      </c>
    </row>
    <row r="77" spans="1:7" ht="26">
      <c r="A77" s="2255">
        <v>3</v>
      </c>
      <c r="B77" s="4718"/>
      <c r="C77" s="2235" t="s">
        <v>2545</v>
      </c>
      <c r="D77" s="2235" t="s">
        <v>2546</v>
      </c>
      <c r="E77" s="3061">
        <v>0.2</v>
      </c>
      <c r="F77" s="3062">
        <v>25</v>
      </c>
    </row>
    <row r="78" spans="1:7" ht="14">
      <c r="A78" s="2255">
        <v>4</v>
      </c>
      <c r="B78" s="4718"/>
      <c r="C78" s="2235" t="s">
        <v>2547</v>
      </c>
      <c r="D78" s="2235" t="s">
        <v>2548</v>
      </c>
      <c r="E78" s="3061">
        <v>0.15</v>
      </c>
      <c r="F78" s="3062">
        <v>20</v>
      </c>
    </row>
    <row r="79" spans="1:7" ht="26">
      <c r="A79" s="2255">
        <v>5</v>
      </c>
      <c r="B79" s="4718"/>
      <c r="C79" s="2235" t="s">
        <v>2549</v>
      </c>
      <c r="D79" s="2235" t="s">
        <v>2550</v>
      </c>
      <c r="E79" s="3061">
        <v>0.15</v>
      </c>
      <c r="F79" s="3062">
        <v>20</v>
      </c>
    </row>
    <row r="80" spans="1:7" ht="26">
      <c r="A80" s="2255">
        <v>6</v>
      </c>
      <c r="B80" s="4718"/>
      <c r="C80" s="2235" t="s">
        <v>2551</v>
      </c>
      <c r="D80" s="2235" t="s">
        <v>2552</v>
      </c>
      <c r="E80" s="3061">
        <v>0.15</v>
      </c>
      <c r="F80" s="3062">
        <v>20</v>
      </c>
    </row>
    <row r="81" spans="1:6" ht="26">
      <c r="A81" s="2255">
        <v>7</v>
      </c>
      <c r="B81" s="4718"/>
      <c r="C81" s="2235" t="s">
        <v>2553</v>
      </c>
      <c r="D81" s="2235" t="s">
        <v>2554</v>
      </c>
      <c r="E81" s="3061">
        <v>0.15</v>
      </c>
      <c r="F81" s="3062">
        <v>20</v>
      </c>
    </row>
    <row r="82" spans="1:6" ht="26">
      <c r="A82" s="2255">
        <v>8</v>
      </c>
      <c r="B82" s="4718"/>
      <c r="C82" s="2235" t="s">
        <v>2555</v>
      </c>
      <c r="D82" s="2235" t="s">
        <v>2556</v>
      </c>
      <c r="E82" s="3061">
        <v>0.1</v>
      </c>
      <c r="F82" s="3062">
        <v>15</v>
      </c>
    </row>
    <row r="83" spans="1:6" ht="26">
      <c r="A83" s="2255">
        <v>9</v>
      </c>
      <c r="B83" s="4718"/>
      <c r="C83" s="2235" t="s">
        <v>2557</v>
      </c>
      <c r="D83" s="2235" t="s">
        <v>2558</v>
      </c>
      <c r="E83" s="3061">
        <v>0.1</v>
      </c>
      <c r="F83" s="3062">
        <v>15</v>
      </c>
    </row>
    <row r="84" spans="1:6" ht="26">
      <c r="A84" s="2255">
        <v>10</v>
      </c>
      <c r="B84" s="4718"/>
      <c r="C84" s="2235" t="s">
        <v>2559</v>
      </c>
      <c r="D84" s="2235" t="s">
        <v>2560</v>
      </c>
      <c r="E84" s="3061">
        <v>0.1</v>
      </c>
      <c r="F84" s="3062">
        <v>15</v>
      </c>
    </row>
    <row r="85" spans="1:6" ht="26">
      <c r="A85" s="2255">
        <v>11</v>
      </c>
      <c r="B85" s="4718"/>
      <c r="C85" s="2235" t="s">
        <v>2561</v>
      </c>
      <c r="D85" s="2235" t="s">
        <v>2562</v>
      </c>
      <c r="E85" s="3061">
        <v>0.1</v>
      </c>
      <c r="F85" s="3062">
        <v>15</v>
      </c>
    </row>
    <row r="86" spans="1:6" ht="26">
      <c r="A86" s="2255">
        <v>12</v>
      </c>
      <c r="B86" s="4718"/>
      <c r="C86" s="2235" t="s">
        <v>2563</v>
      </c>
      <c r="D86" s="2235" t="s">
        <v>2564</v>
      </c>
      <c r="E86" s="3061">
        <v>0.1</v>
      </c>
      <c r="F86" s="3062">
        <v>15</v>
      </c>
    </row>
    <row r="87" spans="1:6" ht="14">
      <c r="A87" s="2255">
        <v>13</v>
      </c>
      <c r="B87" s="4718"/>
      <c r="C87" s="2235" t="s">
        <v>2565</v>
      </c>
      <c r="D87" s="2235" t="s">
        <v>2566</v>
      </c>
      <c r="E87" s="3061">
        <v>0.1</v>
      </c>
      <c r="F87" s="3062">
        <v>15</v>
      </c>
    </row>
    <row r="88" spans="1:6" ht="14">
      <c r="A88" s="2255">
        <v>14</v>
      </c>
      <c r="B88" s="4718"/>
      <c r="C88" s="2235" t="s">
        <v>2567</v>
      </c>
      <c r="D88" s="2235" t="s">
        <v>2568</v>
      </c>
      <c r="E88" s="3061">
        <v>0.1</v>
      </c>
      <c r="F88" s="3062">
        <v>15</v>
      </c>
    </row>
    <row r="89" spans="1:6" ht="14">
      <c r="A89" s="2255">
        <v>15</v>
      </c>
      <c r="B89" s="4718"/>
      <c r="C89" s="2235" t="s">
        <v>2569</v>
      </c>
      <c r="D89" s="2235" t="s">
        <v>2570</v>
      </c>
      <c r="E89" s="3061">
        <v>0.1</v>
      </c>
      <c r="F89" s="3062">
        <v>15</v>
      </c>
    </row>
    <row r="90" spans="1:6" ht="26">
      <c r="A90" s="2255">
        <v>16</v>
      </c>
      <c r="B90" s="4718"/>
      <c r="C90" s="2235" t="s">
        <v>2571</v>
      </c>
      <c r="D90" s="2235" t="s">
        <v>2572</v>
      </c>
      <c r="E90" s="3061">
        <v>0.1</v>
      </c>
      <c r="F90" s="3062">
        <v>15</v>
      </c>
    </row>
    <row r="91" spans="1:6" ht="26">
      <c r="A91" s="2255">
        <v>17</v>
      </c>
      <c r="B91" s="4717"/>
      <c r="C91" s="2235" t="s">
        <v>2573</v>
      </c>
      <c r="D91" s="2235" t="s">
        <v>2574</v>
      </c>
      <c r="E91" s="3061">
        <v>0.1</v>
      </c>
      <c r="F91" s="3062">
        <v>15</v>
      </c>
    </row>
    <row r="92" spans="1:6" ht="14">
      <c r="A92" s="2255">
        <v>18</v>
      </c>
      <c r="B92" s="4716" t="s">
        <v>2575</v>
      </c>
      <c r="C92" s="2235" t="s">
        <v>2576</v>
      </c>
      <c r="D92" s="2235" t="s">
        <v>2577</v>
      </c>
      <c r="E92" s="3061">
        <v>0.2</v>
      </c>
      <c r="F92" s="3062">
        <v>25</v>
      </c>
    </row>
    <row r="93" spans="1:6" ht="26">
      <c r="A93" s="2255">
        <v>19</v>
      </c>
      <c r="B93" s="4718"/>
      <c r="C93" s="2235" t="s">
        <v>2578</v>
      </c>
      <c r="D93" s="2235" t="s">
        <v>2579</v>
      </c>
      <c r="E93" s="3061">
        <v>0.2</v>
      </c>
      <c r="F93" s="3062">
        <v>25</v>
      </c>
    </row>
    <row r="94" spans="1:6" ht="14">
      <c r="A94" s="2255">
        <v>20</v>
      </c>
      <c r="B94" s="4718"/>
      <c r="C94" s="2235" t="s">
        <v>2580</v>
      </c>
      <c r="D94" s="2235" t="s">
        <v>2581</v>
      </c>
      <c r="E94" s="3061">
        <v>0.15</v>
      </c>
      <c r="F94" s="3062">
        <v>20</v>
      </c>
    </row>
    <row r="95" spans="1:6" ht="26">
      <c r="A95" s="2255">
        <v>21</v>
      </c>
      <c r="B95" s="4718"/>
      <c r="C95" s="2235" t="s">
        <v>2582</v>
      </c>
      <c r="D95" s="2235" t="s">
        <v>2583</v>
      </c>
      <c r="E95" s="3061">
        <v>0.15</v>
      </c>
      <c r="F95" s="3062">
        <v>20</v>
      </c>
    </row>
    <row r="96" spans="1:6" ht="26">
      <c r="A96" s="2255">
        <v>22</v>
      </c>
      <c r="B96" s="4718"/>
      <c r="C96" s="2235" t="s">
        <v>2584</v>
      </c>
      <c r="D96" s="2235" t="s">
        <v>2585</v>
      </c>
      <c r="E96" s="3061">
        <v>0.15</v>
      </c>
      <c r="F96" s="3062">
        <v>20</v>
      </c>
    </row>
    <row r="97" spans="1:6" ht="39">
      <c r="A97" s="2255">
        <v>23</v>
      </c>
      <c r="B97" s="4718"/>
      <c r="C97" s="2235" t="s">
        <v>2586</v>
      </c>
      <c r="D97" s="2235" t="s">
        <v>2587</v>
      </c>
      <c r="E97" s="3061">
        <v>0.15</v>
      </c>
      <c r="F97" s="3062">
        <v>20</v>
      </c>
    </row>
    <row r="98" spans="1:6" ht="14">
      <c r="A98" s="2255">
        <v>24</v>
      </c>
      <c r="B98" s="4718"/>
      <c r="C98" s="2235" t="s">
        <v>2588</v>
      </c>
      <c r="D98" s="2235" t="s">
        <v>2589</v>
      </c>
      <c r="E98" s="3061">
        <v>0.1</v>
      </c>
      <c r="F98" s="3062">
        <v>15</v>
      </c>
    </row>
    <row r="99" spans="1:6" ht="26">
      <c r="A99" s="2255">
        <v>25</v>
      </c>
      <c r="B99" s="4718"/>
      <c r="C99" s="2235" t="s">
        <v>2590</v>
      </c>
      <c r="D99" s="2235" t="s">
        <v>2591</v>
      </c>
      <c r="E99" s="3061">
        <v>0.1</v>
      </c>
      <c r="F99" s="3062">
        <v>15</v>
      </c>
    </row>
    <row r="100" spans="1:6" ht="26">
      <c r="A100" s="2255">
        <v>26</v>
      </c>
      <c r="B100" s="4718"/>
      <c r="C100" s="2235" t="s">
        <v>2592</v>
      </c>
      <c r="D100" s="2235" t="s">
        <v>2593</v>
      </c>
      <c r="E100" s="3061">
        <v>0.1</v>
      </c>
      <c r="F100" s="3062">
        <v>15</v>
      </c>
    </row>
    <row r="101" spans="1:6" ht="26">
      <c r="A101" s="2255">
        <v>27</v>
      </c>
      <c r="B101" s="4718"/>
      <c r="C101" s="2235" t="s">
        <v>2594</v>
      </c>
      <c r="D101" s="2235" t="s">
        <v>2595</v>
      </c>
      <c r="E101" s="3061">
        <v>0.1</v>
      </c>
      <c r="F101" s="3062">
        <v>15</v>
      </c>
    </row>
    <row r="102" spans="1:6" ht="26">
      <c r="A102" s="2255">
        <v>28</v>
      </c>
      <c r="B102" s="4718"/>
      <c r="C102" s="2235" t="s">
        <v>2596</v>
      </c>
      <c r="D102" s="2235" t="s">
        <v>2597</v>
      </c>
      <c r="E102" s="3061">
        <v>0.1</v>
      </c>
      <c r="F102" s="3062">
        <v>15</v>
      </c>
    </row>
    <row r="103" spans="1:6" ht="26">
      <c r="A103" s="2255">
        <v>29</v>
      </c>
      <c r="B103" s="4718"/>
      <c r="C103" s="2235" t="s">
        <v>2598</v>
      </c>
      <c r="D103" s="2235" t="s">
        <v>2599</v>
      </c>
      <c r="E103" s="3061">
        <v>0.1</v>
      </c>
      <c r="F103" s="3062">
        <v>15</v>
      </c>
    </row>
    <row r="104" spans="1:6" ht="26">
      <c r="A104" s="2255">
        <v>30</v>
      </c>
      <c r="B104" s="4718"/>
      <c r="C104" s="2235" t="s">
        <v>2600</v>
      </c>
      <c r="D104" s="2235" t="s">
        <v>2601</v>
      </c>
      <c r="E104" s="3061">
        <v>0.1</v>
      </c>
      <c r="F104" s="3062">
        <v>15</v>
      </c>
    </row>
    <row r="105" spans="1:6" ht="26">
      <c r="A105" s="2255">
        <v>31</v>
      </c>
      <c r="B105" s="4718"/>
      <c r="C105" s="2235" t="s">
        <v>2602</v>
      </c>
      <c r="D105" s="2235" t="s">
        <v>2603</v>
      </c>
      <c r="E105" s="3061">
        <v>0.1</v>
      </c>
      <c r="F105" s="3062">
        <v>15</v>
      </c>
    </row>
    <row r="106" spans="1:6" ht="26">
      <c r="A106" s="2255">
        <v>32</v>
      </c>
      <c r="B106" s="4718"/>
      <c r="C106" s="2235" t="s">
        <v>2604</v>
      </c>
      <c r="D106" s="2235" t="s">
        <v>2605</v>
      </c>
      <c r="E106" s="3061">
        <v>0.1</v>
      </c>
      <c r="F106" s="3062">
        <v>15</v>
      </c>
    </row>
    <row r="107" spans="1:6" ht="26">
      <c r="A107" s="2255">
        <v>33</v>
      </c>
      <c r="B107" s="4718"/>
      <c r="C107" s="2235" t="s">
        <v>2606</v>
      </c>
      <c r="D107" s="2235" t="s">
        <v>2607</v>
      </c>
      <c r="E107" s="3061">
        <v>0.1</v>
      </c>
      <c r="F107" s="3062">
        <v>15</v>
      </c>
    </row>
    <row r="108" spans="1:6" ht="26">
      <c r="A108" s="2255">
        <v>34</v>
      </c>
      <c r="B108" s="4717"/>
      <c r="C108" s="2235" t="s">
        <v>2608</v>
      </c>
      <c r="D108" s="2235" t="s">
        <v>2609</v>
      </c>
      <c r="E108" s="3061">
        <v>0.1</v>
      </c>
      <c r="F108" s="3062">
        <v>15</v>
      </c>
    </row>
    <row r="109" spans="1:6" ht="26">
      <c r="A109" s="2255">
        <v>35</v>
      </c>
      <c r="B109" s="4716" t="s">
        <v>2610</v>
      </c>
      <c r="C109" s="2255" t="s">
        <v>2611</v>
      </c>
      <c r="D109" s="2235" t="s">
        <v>2612</v>
      </c>
      <c r="E109" s="3061">
        <v>0.15</v>
      </c>
      <c r="F109" s="3062">
        <v>20</v>
      </c>
    </row>
    <row r="110" spans="1:6" ht="26">
      <c r="A110" s="2255">
        <v>36</v>
      </c>
      <c r="B110" s="4718"/>
      <c r="C110" s="2255" t="s">
        <v>2613</v>
      </c>
      <c r="D110" s="2235" t="s">
        <v>2614</v>
      </c>
      <c r="E110" s="3061">
        <v>0.15</v>
      </c>
      <c r="F110" s="3062">
        <v>20</v>
      </c>
    </row>
    <row r="111" spans="1:6" ht="26">
      <c r="A111" s="2255">
        <v>37</v>
      </c>
      <c r="B111" s="4718"/>
      <c r="C111" s="2255" t="s">
        <v>2615</v>
      </c>
      <c r="D111" s="2235" t="s">
        <v>2616</v>
      </c>
      <c r="E111" s="3061">
        <v>0.15</v>
      </c>
      <c r="F111" s="3062">
        <v>20</v>
      </c>
    </row>
    <row r="112" spans="1:6" ht="14">
      <c r="A112" s="2255">
        <v>38</v>
      </c>
      <c r="B112" s="4718"/>
      <c r="C112" s="2255" t="s">
        <v>2617</v>
      </c>
      <c r="D112" s="2235" t="s">
        <v>2618</v>
      </c>
      <c r="E112" s="3061">
        <v>0.1</v>
      </c>
      <c r="F112" s="3062">
        <v>15</v>
      </c>
    </row>
    <row r="113" spans="1:6" ht="26">
      <c r="A113" s="2255">
        <v>39</v>
      </c>
      <c r="B113" s="4718"/>
      <c r="C113" s="2255" t="s">
        <v>2619</v>
      </c>
      <c r="D113" s="2235" t="s">
        <v>2620</v>
      </c>
      <c r="E113" s="3061">
        <v>0.1</v>
      </c>
      <c r="F113" s="3062">
        <v>15</v>
      </c>
    </row>
    <row r="114" spans="1:6" ht="26">
      <c r="A114" s="2255">
        <v>40</v>
      </c>
      <c r="B114" s="4717"/>
      <c r="C114" s="2255" t="s">
        <v>2621</v>
      </c>
      <c r="D114" s="2235" t="s">
        <v>2622</v>
      </c>
      <c r="E114" s="3061">
        <v>0.1</v>
      </c>
      <c r="F114" s="3062">
        <v>15</v>
      </c>
    </row>
    <row r="115" spans="1:6" ht="26">
      <c r="A115" s="2255">
        <v>41</v>
      </c>
      <c r="B115" s="4715" t="s">
        <v>2623</v>
      </c>
      <c r="C115" s="2255" t="s">
        <v>2624</v>
      </c>
      <c r="D115" s="2235" t="s">
        <v>2625</v>
      </c>
      <c r="E115" s="3061">
        <v>0.1</v>
      </c>
      <c r="F115" s="3062">
        <v>15</v>
      </c>
    </row>
    <row r="116" spans="1:6" ht="14">
      <c r="A116" s="2255">
        <v>42</v>
      </c>
      <c r="B116" s="4715"/>
      <c r="C116" s="2255" t="s">
        <v>2626</v>
      </c>
      <c r="D116" s="2235" t="s">
        <v>2627</v>
      </c>
      <c r="E116" s="3061">
        <v>0.1</v>
      </c>
      <c r="F116" s="3062">
        <v>15</v>
      </c>
    </row>
    <row r="117" spans="1:6" ht="26">
      <c r="A117" s="2255">
        <v>43</v>
      </c>
      <c r="B117" s="4715"/>
      <c r="C117" s="2255" t="s">
        <v>2628</v>
      </c>
      <c r="D117" s="2235" t="s">
        <v>2629</v>
      </c>
      <c r="E117" s="3061">
        <v>0.1</v>
      </c>
      <c r="F117" s="3062">
        <v>15</v>
      </c>
    </row>
    <row r="118" spans="1:6" ht="26">
      <c r="A118" s="2255">
        <v>44</v>
      </c>
      <c r="B118" s="4716" t="s">
        <v>2630</v>
      </c>
      <c r="C118" s="2255" t="s">
        <v>2631</v>
      </c>
      <c r="D118" s="2235" t="s">
        <v>2632</v>
      </c>
      <c r="E118" s="3061">
        <v>0.1</v>
      </c>
      <c r="F118" s="3062">
        <v>15</v>
      </c>
    </row>
    <row r="119" spans="1:6" ht="26">
      <c r="A119" s="2255">
        <v>45</v>
      </c>
      <c r="B119" s="4717"/>
      <c r="C119" s="2235" t="s">
        <v>2633</v>
      </c>
      <c r="D119" s="2235" t="s">
        <v>2634</v>
      </c>
      <c r="E119" s="3061">
        <v>0.1</v>
      </c>
      <c r="F119" s="3062">
        <v>15</v>
      </c>
    </row>
    <row r="120" spans="1:6" ht="26">
      <c r="A120" s="2255">
        <v>46</v>
      </c>
      <c r="B120" s="4716" t="s">
        <v>2635</v>
      </c>
      <c r="C120" s="2255" t="s">
        <v>2636</v>
      </c>
      <c r="D120" s="2235" t="s">
        <v>2637</v>
      </c>
      <c r="E120" s="3061">
        <v>0.1</v>
      </c>
      <c r="F120" s="3062">
        <v>15</v>
      </c>
    </row>
    <row r="121" spans="1:6" ht="26">
      <c r="A121" s="2255">
        <v>47</v>
      </c>
      <c r="B121" s="4717"/>
      <c r="C121" s="2255" t="s">
        <v>2638</v>
      </c>
      <c r="D121" s="2235" t="s">
        <v>2639</v>
      </c>
      <c r="E121" s="3061">
        <v>0.1</v>
      </c>
      <c r="F121" s="3062">
        <v>15</v>
      </c>
    </row>
    <row r="122" spans="1:6" ht="26">
      <c r="A122" s="2255">
        <v>48</v>
      </c>
      <c r="B122" s="4716" t="s">
        <v>2640</v>
      </c>
      <c r="C122" s="2255" t="s">
        <v>2641</v>
      </c>
      <c r="D122" s="2235" t="s">
        <v>2642</v>
      </c>
      <c r="E122" s="3061">
        <v>0.1</v>
      </c>
      <c r="F122" s="3062">
        <v>15</v>
      </c>
    </row>
    <row r="123" spans="1:6" ht="14">
      <c r="A123" s="2255">
        <v>49</v>
      </c>
      <c r="B123" s="4717"/>
      <c r="C123" s="2255" t="s">
        <v>2643</v>
      </c>
      <c r="D123" s="2235" t="s">
        <v>2644</v>
      </c>
      <c r="E123" s="3061">
        <v>0.1</v>
      </c>
      <c r="F123" s="3062">
        <v>15</v>
      </c>
    </row>
    <row r="124" spans="1:6" ht="26">
      <c r="A124" s="2255">
        <v>50</v>
      </c>
      <c r="B124" s="4715" t="s">
        <v>2645</v>
      </c>
      <c r="C124" s="2255" t="s">
        <v>2646</v>
      </c>
      <c r="D124" s="2235" t="s">
        <v>2647</v>
      </c>
      <c r="E124" s="3061">
        <v>0.1</v>
      </c>
      <c r="F124" s="3062">
        <v>15</v>
      </c>
    </row>
    <row r="125" spans="1:6" ht="26">
      <c r="A125" s="2255">
        <v>51</v>
      </c>
      <c r="B125" s="4715"/>
      <c r="C125" s="2255" t="s">
        <v>2648</v>
      </c>
      <c r="D125" s="2235" t="s">
        <v>2649</v>
      </c>
      <c r="E125" s="3061">
        <v>0.1</v>
      </c>
      <c r="F125" s="3062">
        <v>15</v>
      </c>
    </row>
    <row r="126" spans="1:6" ht="26">
      <c r="A126" s="2255">
        <v>52</v>
      </c>
      <c r="B126" s="4715" t="s">
        <v>2650</v>
      </c>
      <c r="C126" s="2255" t="s">
        <v>2651</v>
      </c>
      <c r="D126" s="2235" t="s">
        <v>2652</v>
      </c>
      <c r="E126" s="3061">
        <v>0.1</v>
      </c>
      <c r="F126" s="3062">
        <v>15</v>
      </c>
    </row>
    <row r="127" spans="1:6" ht="26">
      <c r="A127" s="2255">
        <v>53</v>
      </c>
      <c r="B127" s="4715"/>
      <c r="C127" s="2255" t="s">
        <v>2653</v>
      </c>
      <c r="D127" s="2235" t="s">
        <v>2654</v>
      </c>
      <c r="E127" s="3061">
        <v>0.1</v>
      </c>
      <c r="F127" s="3062">
        <v>15</v>
      </c>
    </row>
    <row r="128" spans="1:6" ht="26">
      <c r="A128" s="2255">
        <v>54</v>
      </c>
      <c r="B128" s="2255" t="s">
        <v>2655</v>
      </c>
      <c r="C128" s="2255" t="s">
        <v>2656</v>
      </c>
      <c r="D128" s="2235" t="s">
        <v>2657</v>
      </c>
      <c r="E128" s="3061">
        <v>0.1</v>
      </c>
      <c r="F128" s="3062">
        <v>15</v>
      </c>
    </row>
    <row r="129" spans="1:6" ht="14">
      <c r="A129" s="2255">
        <v>55</v>
      </c>
      <c r="B129" s="4715" t="s">
        <v>2658</v>
      </c>
      <c r="C129" s="2255" t="s">
        <v>2659</v>
      </c>
      <c r="D129" s="2235" t="s">
        <v>2660</v>
      </c>
      <c r="E129" s="3061">
        <v>0.1</v>
      </c>
      <c r="F129" s="3062">
        <v>15</v>
      </c>
    </row>
    <row r="130" spans="1:6" ht="14">
      <c r="A130" s="2255">
        <v>56</v>
      </c>
      <c r="B130" s="4715"/>
      <c r="C130" s="2255" t="s">
        <v>2661</v>
      </c>
      <c r="D130" s="2235" t="s">
        <v>2662</v>
      </c>
      <c r="E130" s="3061">
        <v>0.1</v>
      </c>
      <c r="F130" s="3062">
        <v>15</v>
      </c>
    </row>
    <row r="131" spans="1:6" ht="26">
      <c r="A131" s="2255">
        <v>57</v>
      </c>
      <c r="B131" s="4715"/>
      <c r="C131" s="2255" t="s">
        <v>2663</v>
      </c>
      <c r="D131" s="2235" t="s">
        <v>2664</v>
      </c>
      <c r="E131" s="3061">
        <v>0.1</v>
      </c>
      <c r="F131" s="3062">
        <v>15</v>
      </c>
    </row>
    <row r="132" spans="1:6" ht="26">
      <c r="A132" s="2255">
        <v>58</v>
      </c>
      <c r="B132" s="4715" t="s">
        <v>2665</v>
      </c>
      <c r="C132" s="2255" t="s">
        <v>2666</v>
      </c>
      <c r="D132" s="2235" t="s">
        <v>2667</v>
      </c>
      <c r="E132" s="3061">
        <v>0.1</v>
      </c>
      <c r="F132" s="3062">
        <v>15</v>
      </c>
    </row>
    <row r="133" spans="1:6" ht="26">
      <c r="A133" s="2255">
        <v>59</v>
      </c>
      <c r="B133" s="4715"/>
      <c r="C133" s="2255" t="s">
        <v>2668</v>
      </c>
      <c r="D133" s="2235" t="s">
        <v>2669</v>
      </c>
      <c r="E133" s="3061">
        <v>0.1</v>
      </c>
      <c r="F133" s="3062">
        <v>15</v>
      </c>
    </row>
    <row r="134" spans="1:6" ht="26">
      <c r="A134" s="2255">
        <v>60</v>
      </c>
      <c r="B134" s="4716" t="s">
        <v>2670</v>
      </c>
      <c r="C134" s="2255" t="s">
        <v>2671</v>
      </c>
      <c r="D134" s="2235" t="s">
        <v>2672</v>
      </c>
      <c r="E134" s="3061">
        <v>0.1</v>
      </c>
      <c r="F134" s="3062">
        <v>15</v>
      </c>
    </row>
    <row r="135" spans="1:6" ht="26">
      <c r="A135" s="2255">
        <v>61</v>
      </c>
      <c r="B135" s="4717"/>
      <c r="C135" s="2255" t="s">
        <v>2673</v>
      </c>
      <c r="D135" s="2235" t="s">
        <v>2674</v>
      </c>
      <c r="E135" s="3061">
        <v>0.1</v>
      </c>
      <c r="F135" s="3062">
        <v>15</v>
      </c>
    </row>
    <row r="136" spans="1:6" ht="26">
      <c r="A136" s="2255">
        <v>62</v>
      </c>
      <c r="B136" s="2255" t="s">
        <v>2675</v>
      </c>
      <c r="C136" s="2255" t="s">
        <v>2676</v>
      </c>
      <c r="D136" s="2235" t="s">
        <v>2677</v>
      </c>
      <c r="E136" s="3061">
        <v>0.1</v>
      </c>
      <c r="F136" s="3062">
        <v>15</v>
      </c>
    </row>
    <row r="137" spans="1:6" ht="26">
      <c r="A137" s="2255">
        <v>63</v>
      </c>
      <c r="B137" s="4715" t="s">
        <v>2678</v>
      </c>
      <c r="C137" s="2255" t="s">
        <v>2679</v>
      </c>
      <c r="D137" s="2235" t="s">
        <v>2680</v>
      </c>
      <c r="E137" s="3061">
        <v>0.1</v>
      </c>
      <c r="F137" s="3062">
        <v>15</v>
      </c>
    </row>
    <row r="138" spans="1:6" ht="14">
      <c r="A138" s="2255">
        <v>64</v>
      </c>
      <c r="B138" s="4715"/>
      <c r="C138" s="2255" t="s">
        <v>2681</v>
      </c>
      <c r="D138" s="2235" t="s">
        <v>2682</v>
      </c>
      <c r="E138" s="3061">
        <v>0.1</v>
      </c>
      <c r="F138" s="3062">
        <v>15</v>
      </c>
    </row>
    <row r="139" spans="1:6" ht="26">
      <c r="A139" s="2255">
        <v>65</v>
      </c>
      <c r="B139" s="2255" t="s">
        <v>2683</v>
      </c>
      <c r="C139" s="2255" t="s">
        <v>2684</v>
      </c>
      <c r="D139" s="2235" t="s">
        <v>2685</v>
      </c>
      <c r="E139" s="3061">
        <v>0.1</v>
      </c>
      <c r="F139" s="3062">
        <v>15</v>
      </c>
    </row>
    <row r="140" spans="1:6" ht="14">
      <c r="A140" s="2255"/>
      <c r="B140" s="2255"/>
      <c r="C140" s="2255"/>
      <c r="D140" s="2255"/>
      <c r="E140" s="2255" t="s">
        <v>2686</v>
      </c>
      <c r="F140" s="2255"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7"/>
  </cols>
  <sheetData>
    <row r="1" spans="1:20" ht="15.5"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5"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0.8921</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5"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5"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5"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0.84499999999999997</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32317</v>
      </c>
      <c r="C2" s="2" t="s">
        <v>104</v>
      </c>
      <c r="D2" s="94"/>
      <c r="E2" s="94"/>
      <c r="F2" s="94"/>
      <c r="G2" s="94"/>
    </row>
    <row r="3" spans="1:7" s="95" customFormat="1" ht="18" customHeight="1" thickBot="1">
      <c r="A3" s="98" t="s">
        <v>56</v>
      </c>
      <c r="B3" s="99">
        <f ca="1">ROUND(B2*10000/'数据-汇总表'!E3,0)</f>
        <v>26930</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240</v>
      </c>
      <c r="D10" s="538">
        <f>'数据-汇总表'!E6</f>
        <v>12000.230000000001</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450</v>
      </c>
      <c r="D19" s="107">
        <f>'数据-汇总表'!E3</f>
        <v>12000.230000000001</v>
      </c>
      <c r="E19" s="106">
        <f>'数据-取费表'!B31</f>
        <v>375</v>
      </c>
      <c r="F19" s="126"/>
      <c r="G19" s="1" t="s">
        <v>430</v>
      </c>
    </row>
    <row r="20" spans="1:7" s="109" customFormat="1" ht="13.5" customHeight="1">
      <c r="A20" s="510" t="s">
        <v>413</v>
      </c>
      <c r="B20" s="105" t="s">
        <v>75</v>
      </c>
      <c r="C20" s="127">
        <f>ROUND((C5+C19)*F20,0)</f>
        <v>421</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1737</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37</v>
      </c>
      <c r="D24" s="133"/>
      <c r="E24" s="133"/>
      <c r="F24" s="134"/>
      <c r="G24" s="135" t="s">
        <v>80</v>
      </c>
    </row>
    <row r="25" spans="1:7" s="109" customFormat="1" ht="26">
      <c r="A25" s="513" t="s">
        <v>346</v>
      </c>
      <c r="B25" s="110" t="s">
        <v>414</v>
      </c>
      <c r="C25" s="742">
        <f ca="1">ROUND(IF('数据-取费表'!B22&lt;=1,C20*F22*'数据-取费表'!B23/2,C20*(POWER((1+F22),'数据-取费表'!B23/2)-1)),0)</f>
        <v>17</v>
      </c>
      <c r="D25" s="133"/>
      <c r="E25" s="136"/>
      <c r="F25" s="134"/>
      <c r="G25" s="137" t="s">
        <v>81</v>
      </c>
    </row>
    <row r="26" spans="1:7" s="109" customFormat="1" ht="13">
      <c r="A26" s="513" t="s">
        <v>348</v>
      </c>
      <c r="B26" s="110" t="s">
        <v>416</v>
      </c>
      <c r="C26" s="133">
        <f ca="1">ROUND(IF('数据-取费表'!B22&lt;=1,F21*F22*'数据-取费表'!B23/2,F21*(POWER((1+F22),'数据-取费表'!B23/2)-1)),4)</f>
        <v>8.0000000000000004E-4</v>
      </c>
      <c r="D26" s="133"/>
      <c r="E26" s="136"/>
      <c r="F26" s="134"/>
      <c r="G26" s="138"/>
    </row>
    <row r="27" spans="1:7" s="109" customFormat="1" ht="27">
      <c r="A27" s="510" t="s">
        <v>340</v>
      </c>
      <c r="B27" s="139" t="s">
        <v>83</v>
      </c>
      <c r="C27" s="140">
        <f>C28</f>
        <v>3222</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3222</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27085</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6010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5280</v>
      </c>
      <c r="D34" s="112"/>
      <c r="E34" s="115"/>
      <c r="F34" s="152">
        <f>IF('数据-取费表'!B24=0,1,'数据-取费表'!N16)</f>
        <v>1</v>
      </c>
      <c r="G34" s="114" t="s">
        <v>87</v>
      </c>
    </row>
    <row r="35" spans="1:7" ht="13.5" customHeight="1">
      <c r="A35" s="513" t="s">
        <v>349</v>
      </c>
      <c r="B35" s="110" t="s">
        <v>31</v>
      </c>
      <c r="C35" s="115">
        <f>ROUND(C34*F35,0)</f>
        <v>317</v>
      </c>
      <c r="D35" s="115"/>
      <c r="E35" s="115"/>
      <c r="F35" s="154">
        <f>'数据-取费表'!B33</f>
        <v>0.06</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360</v>
      </c>
      <c r="D37" s="112">
        <f>'数据-汇总表'!E3</f>
        <v>12000.230000000001</v>
      </c>
      <c r="E37" s="144">
        <f>'数据-取费表'!B35</f>
        <v>300</v>
      </c>
      <c r="F37" s="154"/>
      <c r="G37" s="156" t="s">
        <v>90</v>
      </c>
    </row>
    <row r="38" spans="1:7" ht="13.5" customHeight="1">
      <c r="A38" s="513" t="s">
        <v>352</v>
      </c>
      <c r="B38" s="110" t="s">
        <v>34</v>
      </c>
      <c r="C38" s="115">
        <f>ROUND(C34*F38,0)</f>
        <v>53</v>
      </c>
      <c r="D38" s="115"/>
      <c r="E38" s="115"/>
      <c r="F38" s="154">
        <f>'数据-取费表'!B36</f>
        <v>0.01</v>
      </c>
      <c r="G38" s="114" t="s">
        <v>88</v>
      </c>
    </row>
    <row r="39" spans="1:7" s="109" customFormat="1" ht="13.5" customHeight="1">
      <c r="A39" s="510" t="s">
        <v>336</v>
      </c>
      <c r="B39" s="105" t="s">
        <v>75</v>
      </c>
      <c r="C39" s="127">
        <f>ROUND(C33*F20,0)</f>
        <v>120</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246</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241</v>
      </c>
      <c r="D42" s="133"/>
      <c r="E42" s="133"/>
      <c r="F42" s="134"/>
      <c r="G42" s="4501" t="s">
        <v>92</v>
      </c>
    </row>
    <row r="43" spans="1:7" ht="13.5" customHeight="1">
      <c r="A43" s="513" t="s">
        <v>345</v>
      </c>
      <c r="B43" s="110" t="s">
        <v>420</v>
      </c>
      <c r="C43" s="133">
        <f ca="1">ROUND(IF('数据-取费表'!B22&lt;=1,C39*F22*'数据-取费表'!B21/2,C39*(POWER((1+F22),'数据-取费表'!B21/2)-1)),0)</f>
        <v>5</v>
      </c>
      <c r="D43" s="133"/>
      <c r="E43" s="133"/>
      <c r="F43" s="134"/>
      <c r="G43" s="4503"/>
    </row>
    <row r="44" spans="1:7" ht="13.5" customHeight="1">
      <c r="A44" s="513" t="s">
        <v>346</v>
      </c>
      <c r="B44" s="110" t="s">
        <v>422</v>
      </c>
      <c r="C44" s="133">
        <f ca="1">ROUND(IF('数据-取费表'!B22&lt;=1,C40*F22*'数据-取费表'!B21/2,C40*(POWER((1+F22),'数据-取费表'!B21/2)-1)),4)</f>
        <v>8.0000000000000004E-4</v>
      </c>
      <c r="D44" s="133"/>
      <c r="E44" s="133"/>
      <c r="F44" s="134"/>
      <c r="G44" s="4502"/>
    </row>
    <row r="45" spans="1:7" s="109" customFormat="1" ht="13.5" customHeight="1">
      <c r="A45" s="510" t="s">
        <v>339</v>
      </c>
      <c r="B45" s="139" t="s">
        <v>83</v>
      </c>
      <c r="C45" s="140">
        <f>C46</f>
        <v>920</v>
      </c>
      <c r="D45" s="130">
        <f>C47</f>
        <v>3.0000000000000001E-3</v>
      </c>
      <c r="E45" s="131" t="s">
        <v>100</v>
      </c>
      <c r="F45" s="141"/>
      <c r="G45" s="142" t="s">
        <v>428</v>
      </c>
    </row>
    <row r="46" spans="1:7" s="109" customFormat="1" ht="13.5" customHeight="1">
      <c r="A46" s="513" t="s">
        <v>347</v>
      </c>
      <c r="B46" s="143" t="s">
        <v>421</v>
      </c>
      <c r="C46" s="144">
        <f>ROUND((C33+C39)*F27,0)</f>
        <v>920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7474</v>
      </c>
      <c r="D49" s="127"/>
      <c r="E49" s="127"/>
      <c r="F49" s="159"/>
      <c r="G49" s="129" t="s">
        <v>429</v>
      </c>
    </row>
    <row r="50" spans="1:7" s="153" customFormat="1" ht="26">
      <c r="A50" s="510" t="s">
        <v>342</v>
      </c>
      <c r="B50" s="105" t="s">
        <v>95</v>
      </c>
      <c r="C50" s="127"/>
      <c r="D50" s="127"/>
      <c r="E50" s="127"/>
      <c r="F50" s="159">
        <f>IF('数据-取费表'!B24=0,'数据-取费表'!N16,1)</f>
        <v>0.7</v>
      </c>
      <c r="G50" s="142" t="s">
        <v>96</v>
      </c>
    </row>
    <row r="51" spans="1:7" ht="16.5" customHeight="1">
      <c r="A51" s="510" t="s">
        <v>343</v>
      </c>
      <c r="B51" s="105" t="s">
        <v>103</v>
      </c>
      <c r="C51" s="127">
        <f ca="1">ROUND(C49*F50,0)</f>
        <v>5232</v>
      </c>
      <c r="D51" s="127"/>
      <c r="E51" s="127"/>
      <c r="F51" s="159"/>
      <c r="G51" s="129" t="s">
        <v>35</v>
      </c>
    </row>
    <row r="52" spans="1:7" s="103" customFormat="1" ht="16.5" thickBot="1">
      <c r="A52" s="160" t="s">
        <v>36</v>
      </c>
      <c r="B52" s="161"/>
      <c r="C52" s="162">
        <f ca="1">C31+C51</f>
        <v>32317</v>
      </c>
      <c r="D52" s="161"/>
      <c r="E52" s="161"/>
      <c r="F52" s="161"/>
      <c r="G52" s="163"/>
    </row>
    <row r="55" spans="1:7" ht="15.5">
      <c r="B55" s="165" t="s">
        <v>37</v>
      </c>
      <c r="C55" s="166"/>
    </row>
    <row r="56" spans="1:7" ht="13">
      <c r="B56" s="168" t="s">
        <v>38</v>
      </c>
      <c r="C56" s="169">
        <f ca="1">ROUND(C51/C52,3)</f>
        <v>0.16200000000000001</v>
      </c>
    </row>
    <row r="57" spans="1:7" ht="13">
      <c r="B57" s="168" t="s">
        <v>39</v>
      </c>
      <c r="C57" s="170">
        <f ca="1">1-C56</f>
        <v>0.83799999999999997</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2" customWidth="1"/>
    <col min="2" max="2" width="20" style="2352" customWidth="1"/>
    <col min="3" max="7" width="8.90625" style="2352"/>
    <col min="8" max="16384" width="8.90625" style="2228"/>
  </cols>
  <sheetData>
    <row r="1" spans="1:7">
      <c r="A1" s="4729" t="s">
        <v>3070</v>
      </c>
      <c r="B1" s="4729"/>
    </row>
    <row r="2" spans="1:7" ht="14.5" thickBot="1">
      <c r="A2" s="2353"/>
      <c r="B2" s="2353"/>
    </row>
    <row r="3" spans="1:7" ht="14.5" thickBot="1">
      <c r="A3" s="2353"/>
      <c r="B3" s="2353"/>
      <c r="C3" s="2354" t="s">
        <v>2700</v>
      </c>
      <c r="D3" s="2354" t="s">
        <v>2756</v>
      </c>
      <c r="E3" s="2354" t="s">
        <v>2702</v>
      </c>
      <c r="F3" s="2354" t="s">
        <v>2757</v>
      </c>
      <c r="G3" s="2354" t="s">
        <v>2520</v>
      </c>
    </row>
    <row r="4" spans="1:7" ht="14.5" thickBot="1">
      <c r="A4" s="2355" t="s">
        <v>2755</v>
      </c>
      <c r="B4" s="2356" t="s">
        <v>2761</v>
      </c>
      <c r="C4" s="2354"/>
      <c r="D4" s="2354"/>
      <c r="E4" s="2354"/>
      <c r="F4" s="2354"/>
      <c r="G4" s="2354"/>
    </row>
    <row r="5" spans="1:7">
      <c r="A5" s="2357" t="s">
        <v>2729</v>
      </c>
      <c r="B5" s="2358" t="s">
        <v>2743</v>
      </c>
      <c r="C5" s="2359">
        <v>9.8000000000000004E-2</v>
      </c>
      <c r="D5" s="2359">
        <v>8.6999999999999994E-2</v>
      </c>
      <c r="E5" s="2359">
        <v>8.6999999999999994E-2</v>
      </c>
      <c r="F5" s="2359">
        <v>9.8000000000000004E-2</v>
      </c>
      <c r="G5" s="2360">
        <v>9.5000000000000001E-2</v>
      </c>
    </row>
    <row r="6" spans="1:7">
      <c r="A6" s="2361" t="s">
        <v>142</v>
      </c>
      <c r="B6" s="2362" t="s">
        <v>2758</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5" thickBot="1">
      <c r="A9" s="2365" t="s">
        <v>142</v>
      </c>
      <c r="B9" s="2366" t="s">
        <v>152</v>
      </c>
      <c r="C9" s="2367">
        <v>0.1</v>
      </c>
      <c r="D9" s="2367">
        <v>0.1</v>
      </c>
      <c r="E9" s="2367">
        <v>0.1</v>
      </c>
      <c r="F9" s="2368"/>
      <c r="G9" s="2369">
        <v>0.1</v>
      </c>
    </row>
    <row r="10" spans="1:7">
      <c r="A10" s="2357" t="s">
        <v>182</v>
      </c>
      <c r="B10" s="2358" t="s">
        <v>2744</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2794</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5" thickBot="1">
      <c r="A29" s="2365" t="s">
        <v>182</v>
      </c>
      <c r="B29" s="2366" t="s">
        <v>2812</v>
      </c>
      <c r="C29" s="2371"/>
      <c r="D29" s="2367">
        <v>5.1999999999999998E-2</v>
      </c>
      <c r="E29" s="2367">
        <v>7.0000000000000007E-2</v>
      </c>
      <c r="F29" s="2371"/>
      <c r="G29" s="2369">
        <v>7.0999999999999994E-2</v>
      </c>
    </row>
    <row r="30" spans="1:7">
      <c r="A30" s="2372" t="s">
        <v>294</v>
      </c>
      <c r="B30" s="2358" t="s">
        <v>2745</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2731</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2815</v>
      </c>
      <c r="C50" s="2363">
        <v>9.8000000000000004E-2</v>
      </c>
      <c r="D50" s="2363">
        <v>7.2999999999999995E-2</v>
      </c>
      <c r="E50" s="2363">
        <v>7.0999999999999994E-2</v>
      </c>
      <c r="F50" s="2374"/>
      <c r="G50" s="2364">
        <v>7.2999999999999995E-2</v>
      </c>
    </row>
    <row r="51" spans="1:7">
      <c r="A51" s="2373" t="s">
        <v>294</v>
      </c>
      <c r="B51" s="2362" t="s">
        <v>2817</v>
      </c>
      <c r="C51" s="2363">
        <v>9.9000000000000005E-2</v>
      </c>
      <c r="D51" s="2363">
        <v>8.5000000000000006E-2</v>
      </c>
      <c r="E51" s="2363">
        <v>6.3E-2</v>
      </c>
      <c r="F51" s="2374"/>
      <c r="G51" s="2364">
        <v>9.6000000000000002E-2</v>
      </c>
    </row>
    <row r="52" spans="1:7">
      <c r="A52" s="2373" t="s">
        <v>294</v>
      </c>
      <c r="B52" s="2362" t="s">
        <v>2821</v>
      </c>
      <c r="C52" s="2363">
        <v>7.3999999999999996E-2</v>
      </c>
      <c r="D52" s="2363">
        <v>9.6000000000000002E-2</v>
      </c>
      <c r="E52" s="2363">
        <v>0.05</v>
      </c>
      <c r="F52" s="2374"/>
      <c r="G52" s="2364">
        <v>9.8000000000000004E-2</v>
      </c>
    </row>
    <row r="53" spans="1:7">
      <c r="A53" s="2373" t="s">
        <v>294</v>
      </c>
      <c r="B53" s="2362" t="s">
        <v>2826</v>
      </c>
      <c r="C53" s="2363">
        <v>8.5999999999999993E-2</v>
      </c>
      <c r="D53" s="2374"/>
      <c r="E53" s="2363">
        <v>9.1999999999999998E-2</v>
      </c>
      <c r="F53" s="2374"/>
      <c r="G53" s="2375"/>
    </row>
    <row r="54" spans="1:7" ht="14.5" thickBot="1">
      <c r="A54" s="2376" t="s">
        <v>294</v>
      </c>
      <c r="B54" s="2366" t="s">
        <v>2829</v>
      </c>
      <c r="C54" s="2367">
        <v>9.6000000000000002E-2</v>
      </c>
      <c r="D54" s="2368"/>
      <c r="E54" s="2377"/>
      <c r="F54" s="2368"/>
      <c r="G54" s="2378"/>
    </row>
    <row r="55" spans="1:7">
      <c r="A55" s="2372" t="s">
        <v>108</v>
      </c>
      <c r="B55" s="2358" t="s">
        <v>2746</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2827</v>
      </c>
      <c r="C78" s="2363">
        <v>0.1</v>
      </c>
      <c r="D78" s="2363">
        <v>8.5000000000000006E-2</v>
      </c>
      <c r="E78" s="2363">
        <v>9.6000000000000002E-2</v>
      </c>
      <c r="F78" s="2374"/>
      <c r="G78" s="2364">
        <v>9.6000000000000002E-2</v>
      </c>
    </row>
    <row r="79" spans="1:7">
      <c r="A79" s="2373" t="s">
        <v>108</v>
      </c>
      <c r="B79" s="2362" t="s">
        <v>2830</v>
      </c>
      <c r="C79" s="2363">
        <v>0.05</v>
      </c>
      <c r="D79" s="2363">
        <v>9.6000000000000002E-2</v>
      </c>
      <c r="E79" s="2363">
        <v>9.5000000000000001E-2</v>
      </c>
      <c r="F79" s="2374"/>
      <c r="G79" s="2364">
        <v>9.8000000000000004E-2</v>
      </c>
    </row>
    <row r="80" spans="1:7">
      <c r="A80" s="2373" t="s">
        <v>108</v>
      </c>
      <c r="B80" s="2362" t="s">
        <v>2834</v>
      </c>
      <c r="C80" s="2363">
        <v>8.5999999999999993E-2</v>
      </c>
      <c r="D80" s="2379"/>
      <c r="E80" s="2363">
        <v>0.1</v>
      </c>
      <c r="F80" s="2374"/>
      <c r="G80" s="2375"/>
    </row>
    <row r="81" spans="1:7">
      <c r="A81" s="2373" t="s">
        <v>108</v>
      </c>
      <c r="B81" s="2362" t="s">
        <v>2839</v>
      </c>
      <c r="C81" s="2363">
        <v>9.6000000000000002E-2</v>
      </c>
      <c r="D81" s="2374"/>
      <c r="E81" s="2363">
        <v>9.8000000000000004E-2</v>
      </c>
      <c r="F81" s="2374"/>
      <c r="G81" s="2375"/>
    </row>
    <row r="82" spans="1:7">
      <c r="A82" s="2373" t="s">
        <v>108</v>
      </c>
      <c r="B82" s="2362" t="s">
        <v>2846</v>
      </c>
      <c r="C82" s="2379"/>
      <c r="D82" s="2374"/>
      <c r="E82" s="2363">
        <v>7.6999999999999999E-2</v>
      </c>
      <c r="F82" s="2374"/>
      <c r="G82" s="2375"/>
    </row>
    <row r="83" spans="1:7">
      <c r="A83" s="2373" t="s">
        <v>108</v>
      </c>
      <c r="B83" s="2362" t="s">
        <v>2852</v>
      </c>
      <c r="C83" s="2374"/>
      <c r="D83" s="2374"/>
      <c r="E83" s="2374"/>
      <c r="F83" s="2363">
        <v>0.1</v>
      </c>
      <c r="G83" s="2380"/>
    </row>
    <row r="84" spans="1:7">
      <c r="A84" s="2373" t="s">
        <v>108</v>
      </c>
      <c r="B84" s="2362" t="s">
        <v>2859</v>
      </c>
      <c r="C84" s="2374"/>
      <c r="D84" s="2374"/>
      <c r="E84" s="2374"/>
      <c r="F84" s="2363">
        <v>0.1</v>
      </c>
      <c r="G84" s="2380"/>
    </row>
    <row r="85" spans="1:7">
      <c r="A85" s="2373" t="s">
        <v>108</v>
      </c>
      <c r="B85" s="2362" t="s">
        <v>2866</v>
      </c>
      <c r="C85" s="2374"/>
      <c r="D85" s="2374"/>
      <c r="E85" s="2374"/>
      <c r="F85" s="2363">
        <v>0.1</v>
      </c>
      <c r="G85" s="2380"/>
    </row>
    <row r="86" spans="1:7" ht="14.5" thickBot="1">
      <c r="A86" s="2376" t="s">
        <v>108</v>
      </c>
      <c r="B86" s="2366" t="s">
        <v>2871</v>
      </c>
      <c r="C86" s="2367">
        <v>9.8000000000000004E-2</v>
      </c>
      <c r="D86" s="2367">
        <v>9.8000000000000004E-2</v>
      </c>
      <c r="E86" s="2367">
        <v>9.6000000000000002E-2</v>
      </c>
      <c r="F86" s="2377"/>
      <c r="G86" s="2369">
        <v>0.1</v>
      </c>
    </row>
    <row r="87" spans="1:7">
      <c r="A87" s="2372" t="s">
        <v>301</v>
      </c>
      <c r="B87" s="2358" t="s">
        <v>2747</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2840</v>
      </c>
      <c r="C113" s="2363">
        <v>0.1</v>
      </c>
      <c r="D113" s="2363">
        <v>0.1</v>
      </c>
      <c r="E113" s="2374"/>
      <c r="F113" s="2374"/>
      <c r="G113" s="2364">
        <v>0.1</v>
      </c>
    </row>
    <row r="114" spans="1:7">
      <c r="A114" s="2373" t="s">
        <v>301</v>
      </c>
      <c r="B114" s="2362" t="s">
        <v>2847</v>
      </c>
      <c r="C114" s="2363">
        <v>9.7000000000000003E-2</v>
      </c>
      <c r="D114" s="2363">
        <v>9.7000000000000003E-2</v>
      </c>
      <c r="E114" s="2374"/>
      <c r="F114" s="2374"/>
      <c r="G114" s="2364">
        <v>9.9000000000000005E-2</v>
      </c>
    </row>
    <row r="115" spans="1:7">
      <c r="A115" s="2373" t="s">
        <v>301</v>
      </c>
      <c r="B115" s="2362" t="s">
        <v>2853</v>
      </c>
      <c r="C115" s="2363">
        <v>0.1</v>
      </c>
      <c r="D115" s="2363">
        <v>0.1</v>
      </c>
      <c r="E115" s="2374"/>
      <c r="F115" s="2374"/>
      <c r="G115" s="2364">
        <v>0.1</v>
      </c>
    </row>
    <row r="116" spans="1:7">
      <c r="A116" s="2373" t="s">
        <v>301</v>
      </c>
      <c r="B116" s="2362" t="s">
        <v>2860</v>
      </c>
      <c r="C116" s="2363">
        <v>0.1</v>
      </c>
      <c r="D116" s="2363">
        <v>0.1</v>
      </c>
      <c r="E116" s="2374"/>
      <c r="F116" s="2374"/>
      <c r="G116" s="2364">
        <v>0.1</v>
      </c>
    </row>
    <row r="117" spans="1:7">
      <c r="A117" s="2373" t="s">
        <v>301</v>
      </c>
      <c r="B117" s="2362" t="s">
        <v>2867</v>
      </c>
      <c r="C117" s="2363">
        <v>9.7000000000000003E-2</v>
      </c>
      <c r="D117" s="2363">
        <v>9.7000000000000003E-2</v>
      </c>
      <c r="E117" s="2374"/>
      <c r="F117" s="2374"/>
      <c r="G117" s="2364">
        <v>9.7000000000000003E-2</v>
      </c>
    </row>
    <row r="118" spans="1:7">
      <c r="A118" s="2373" t="s">
        <v>301</v>
      </c>
      <c r="B118" s="2362" t="s">
        <v>2872</v>
      </c>
      <c r="C118" s="2363">
        <v>0.1</v>
      </c>
      <c r="D118" s="2363">
        <v>0.1</v>
      </c>
      <c r="E118" s="2374"/>
      <c r="F118" s="2374"/>
      <c r="G118" s="2364">
        <v>0.1</v>
      </c>
    </row>
    <row r="119" spans="1:7">
      <c r="A119" s="2373" t="s">
        <v>301</v>
      </c>
      <c r="B119" s="2362" t="s">
        <v>2876</v>
      </c>
      <c r="C119" s="2363">
        <v>5.0999999999999997E-2</v>
      </c>
      <c r="D119" s="2363">
        <v>5.1999999999999998E-2</v>
      </c>
      <c r="E119" s="2374"/>
      <c r="F119" s="2379"/>
      <c r="G119" s="2364">
        <v>0.06</v>
      </c>
    </row>
    <row r="120" spans="1:7">
      <c r="A120" s="2373" t="s">
        <v>301</v>
      </c>
      <c r="B120" s="2362" t="s">
        <v>2880</v>
      </c>
      <c r="C120" s="2374"/>
      <c r="D120" s="2374"/>
      <c r="E120" s="2374"/>
      <c r="F120" s="2363">
        <v>0.1</v>
      </c>
      <c r="G120" s="2380"/>
    </row>
    <row r="121" spans="1:7">
      <c r="A121" s="2373" t="s">
        <v>301</v>
      </c>
      <c r="B121" s="2362" t="s">
        <v>2885</v>
      </c>
      <c r="C121" s="2374"/>
      <c r="D121" s="2374"/>
      <c r="E121" s="2374"/>
      <c r="F121" s="2363">
        <v>0.1</v>
      </c>
      <c r="G121" s="2380"/>
    </row>
    <row r="122" spans="1:7">
      <c r="A122" s="2373" t="s">
        <v>301</v>
      </c>
      <c r="B122" s="2362" t="s">
        <v>2890</v>
      </c>
      <c r="C122" s="2363">
        <v>0.1</v>
      </c>
      <c r="D122" s="2363">
        <v>0.1</v>
      </c>
      <c r="E122" s="2363">
        <v>9.8000000000000004E-2</v>
      </c>
      <c r="F122" s="2363">
        <v>0.1</v>
      </c>
      <c r="G122" s="2364">
        <v>0.1</v>
      </c>
    </row>
    <row r="123" spans="1:7">
      <c r="A123" s="2373" t="s">
        <v>301</v>
      </c>
      <c r="B123" s="2362" t="s">
        <v>2895</v>
      </c>
      <c r="C123" s="2363">
        <v>0.1</v>
      </c>
      <c r="D123" s="2363">
        <v>0.1</v>
      </c>
      <c r="E123" s="2363">
        <v>9.8000000000000004E-2</v>
      </c>
      <c r="F123" s="2363">
        <v>0.1</v>
      </c>
      <c r="G123" s="2364">
        <v>0.1</v>
      </c>
    </row>
    <row r="124" spans="1:7">
      <c r="A124" s="2373" t="s">
        <v>301</v>
      </c>
      <c r="B124" s="2362" t="s">
        <v>2900</v>
      </c>
      <c r="C124" s="2363">
        <v>0.1</v>
      </c>
      <c r="D124" s="2363">
        <v>0.1</v>
      </c>
      <c r="E124" s="2363">
        <v>9.8000000000000004E-2</v>
      </c>
      <c r="F124" s="2379"/>
      <c r="G124" s="2364">
        <v>0.1</v>
      </c>
    </row>
    <row r="125" spans="1:7">
      <c r="A125" s="2373" t="s">
        <v>301</v>
      </c>
      <c r="B125" s="2362" t="s">
        <v>2905</v>
      </c>
      <c r="C125" s="2363">
        <v>9.8000000000000004E-2</v>
      </c>
      <c r="D125" s="2363">
        <v>9.8000000000000004E-2</v>
      </c>
      <c r="E125" s="2363">
        <v>9.6000000000000002E-2</v>
      </c>
      <c r="F125" s="2379"/>
      <c r="G125" s="2364">
        <v>0.1</v>
      </c>
    </row>
    <row r="126" spans="1:7" ht="14.5" thickBot="1">
      <c r="A126" s="2376" t="s">
        <v>301</v>
      </c>
      <c r="B126" s="2366" t="s">
        <v>3071</v>
      </c>
      <c r="C126" s="2367">
        <v>0.1</v>
      </c>
      <c r="D126" s="2367">
        <v>0.1</v>
      </c>
      <c r="E126" s="2367">
        <v>9.8000000000000004E-2</v>
      </c>
      <c r="F126" s="2367">
        <v>0.1</v>
      </c>
      <c r="G126" s="2369">
        <v>0.1</v>
      </c>
    </row>
    <row r="127" spans="1:7">
      <c r="A127" s="2372" t="s">
        <v>27</v>
      </c>
      <c r="B127" s="2358" t="s">
        <v>2748</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2818</v>
      </c>
      <c r="C148" s="2363">
        <v>0.13</v>
      </c>
      <c r="D148" s="2363">
        <v>0.13</v>
      </c>
      <c r="E148" s="2363">
        <v>0.13</v>
      </c>
      <c r="F148" s="2374"/>
      <c r="G148" s="2364">
        <v>0.13</v>
      </c>
    </row>
    <row r="149" spans="1:7">
      <c r="A149" s="2373" t="s">
        <v>27</v>
      </c>
      <c r="B149" s="2362" t="s">
        <v>2822</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2841</v>
      </c>
      <c r="C153" s="2363">
        <v>0.13</v>
      </c>
      <c r="D153" s="2363">
        <v>0.13</v>
      </c>
      <c r="E153" s="2363">
        <v>0.13</v>
      </c>
      <c r="F153" s="2363">
        <v>0.13</v>
      </c>
      <c r="G153" s="2364">
        <v>0.13</v>
      </c>
    </row>
    <row r="154" spans="1:7">
      <c r="A154" s="2373" t="s">
        <v>27</v>
      </c>
      <c r="B154" s="2362" t="s">
        <v>2848</v>
      </c>
      <c r="C154" s="2363">
        <v>0.121</v>
      </c>
      <c r="D154" s="2363">
        <v>0.121</v>
      </c>
      <c r="E154" s="2363">
        <v>0.105</v>
      </c>
      <c r="F154" s="2363">
        <v>0.121</v>
      </c>
      <c r="G154" s="2364">
        <v>0.123</v>
      </c>
    </row>
    <row r="155" spans="1:7">
      <c r="A155" s="2373" t="s">
        <v>27</v>
      </c>
      <c r="B155" s="2362" t="s">
        <v>2854</v>
      </c>
      <c r="C155" s="2363">
        <v>0.1</v>
      </c>
      <c r="D155" s="2363">
        <v>0.1</v>
      </c>
      <c r="E155" s="2363">
        <v>0.1</v>
      </c>
      <c r="F155" s="2363">
        <v>0.1</v>
      </c>
      <c r="G155" s="2364">
        <v>0.1</v>
      </c>
    </row>
    <row r="156" spans="1:7">
      <c r="A156" s="2373" t="s">
        <v>27</v>
      </c>
      <c r="B156" s="2362" t="s">
        <v>2861</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2881</v>
      </c>
      <c r="C160" s="2363">
        <v>0.13</v>
      </c>
      <c r="D160" s="2363">
        <v>0.13</v>
      </c>
      <c r="E160" s="2363">
        <v>0.124</v>
      </c>
      <c r="F160" s="2363">
        <v>0.126</v>
      </c>
      <c r="G160" s="2364">
        <v>0.13</v>
      </c>
    </row>
    <row r="161" spans="1:7">
      <c r="A161" s="2373" t="s">
        <v>27</v>
      </c>
      <c r="B161" s="2362" t="s">
        <v>2886</v>
      </c>
      <c r="C161" s="2363">
        <v>0.13</v>
      </c>
      <c r="D161" s="2363">
        <v>0.13</v>
      </c>
      <c r="E161" s="2363">
        <v>0.124</v>
      </c>
      <c r="F161" s="2363">
        <v>0.127</v>
      </c>
      <c r="G161" s="2364">
        <v>0.13</v>
      </c>
    </row>
    <row r="162" spans="1:7">
      <c r="A162" s="2373" t="s">
        <v>27</v>
      </c>
      <c r="B162" s="2362" t="s">
        <v>2891</v>
      </c>
      <c r="C162" s="2363">
        <v>0.1</v>
      </c>
      <c r="D162" s="2363">
        <v>0.1</v>
      </c>
      <c r="E162" s="2363">
        <v>0.1</v>
      </c>
      <c r="F162" s="2363">
        <v>0.121</v>
      </c>
      <c r="G162" s="2364">
        <v>0.105</v>
      </c>
    </row>
    <row r="163" spans="1:7">
      <c r="A163" s="2373" t="s">
        <v>27</v>
      </c>
      <c r="B163" s="2362" t="s">
        <v>2896</v>
      </c>
      <c r="C163" s="2363">
        <v>0.1</v>
      </c>
      <c r="D163" s="2363">
        <v>0.1</v>
      </c>
      <c r="E163" s="2363">
        <v>0.1</v>
      </c>
      <c r="F163" s="2363">
        <v>0.1</v>
      </c>
      <c r="G163" s="2364">
        <v>0.1</v>
      </c>
    </row>
    <row r="164" spans="1:7">
      <c r="A164" s="2373" t="s">
        <v>27</v>
      </c>
      <c r="B164" s="2362" t="s">
        <v>2901</v>
      </c>
      <c r="C164" s="2379"/>
      <c r="D164" s="2379"/>
      <c r="E164" s="2379"/>
      <c r="F164" s="2363">
        <v>0.1</v>
      </c>
      <c r="G164" s="2375"/>
    </row>
    <row r="165" spans="1:7">
      <c r="A165" s="2373" t="s">
        <v>27</v>
      </c>
      <c r="B165" s="2362" t="s">
        <v>3072</v>
      </c>
      <c r="C165" s="2363">
        <v>0.126</v>
      </c>
      <c r="D165" s="2363">
        <v>0.126</v>
      </c>
      <c r="E165" s="2363">
        <v>0.11899999999999999</v>
      </c>
      <c r="F165" s="2363">
        <v>0.13</v>
      </c>
      <c r="G165" s="2364">
        <v>0.128</v>
      </c>
    </row>
    <row r="166" spans="1:7">
      <c r="A166" s="2373" t="s">
        <v>27</v>
      </c>
      <c r="B166" s="2362" t="s">
        <v>2911</v>
      </c>
      <c r="C166" s="2363">
        <v>0.129</v>
      </c>
      <c r="D166" s="2363">
        <v>0.129</v>
      </c>
      <c r="E166" s="2363">
        <v>0.123</v>
      </c>
      <c r="F166" s="2363">
        <v>0.128</v>
      </c>
      <c r="G166" s="2364">
        <v>0.13</v>
      </c>
    </row>
    <row r="167" spans="1:7">
      <c r="A167" s="2373" t="s">
        <v>27</v>
      </c>
      <c r="B167" s="2362" t="s">
        <v>2915</v>
      </c>
      <c r="C167" s="2363">
        <v>0.125</v>
      </c>
      <c r="D167" s="2363">
        <v>0.125</v>
      </c>
      <c r="E167" s="2363">
        <v>0.11700000000000001</v>
      </c>
      <c r="F167" s="2363">
        <v>0.13</v>
      </c>
      <c r="G167" s="2364">
        <v>0.126</v>
      </c>
    </row>
    <row r="168" spans="1:7">
      <c r="A168" s="2373" t="s">
        <v>27</v>
      </c>
      <c r="B168" s="2362" t="s">
        <v>2920</v>
      </c>
      <c r="C168" s="2363">
        <v>0.128</v>
      </c>
      <c r="D168" s="2363">
        <v>0.128</v>
      </c>
      <c r="E168" s="2363">
        <v>0.123</v>
      </c>
      <c r="F168" s="2374"/>
      <c r="G168" s="2364">
        <v>0.13</v>
      </c>
    </row>
    <row r="169" spans="1:7">
      <c r="A169" s="2373" t="s">
        <v>27</v>
      </c>
      <c r="B169" s="2362" t="s">
        <v>3073</v>
      </c>
      <c r="C169" s="2379"/>
      <c r="D169" s="2379"/>
      <c r="E169" s="2379"/>
      <c r="F169" s="2363">
        <v>0.05</v>
      </c>
      <c r="G169" s="2375"/>
    </row>
    <row r="170" spans="1:7">
      <c r="A170" s="2373" t="s">
        <v>27</v>
      </c>
      <c r="B170" s="2362" t="s">
        <v>3074</v>
      </c>
      <c r="C170" s="2379"/>
      <c r="D170" s="2379"/>
      <c r="E170" s="2379"/>
      <c r="F170" s="2363">
        <v>0.05</v>
      </c>
      <c r="G170" s="2375"/>
    </row>
    <row r="171" spans="1:7">
      <c r="A171" s="2373" t="s">
        <v>27</v>
      </c>
      <c r="B171" s="2362" t="s">
        <v>3075</v>
      </c>
      <c r="C171" s="2379"/>
      <c r="D171" s="2379"/>
      <c r="E171" s="2379"/>
      <c r="F171" s="2363">
        <v>0.05</v>
      </c>
      <c r="G171" s="2380"/>
    </row>
    <row r="172" spans="1:7">
      <c r="A172" s="2373" t="s">
        <v>27</v>
      </c>
      <c r="B172" s="2362" t="s">
        <v>3076</v>
      </c>
      <c r="C172" s="2379"/>
      <c r="D172" s="2379"/>
      <c r="E172" s="2379"/>
      <c r="F172" s="2363">
        <v>0.05</v>
      </c>
      <c r="G172" s="2380"/>
    </row>
    <row r="173" spans="1:7">
      <c r="A173" s="2373" t="s">
        <v>27</v>
      </c>
      <c r="B173" s="2362" t="s">
        <v>3077</v>
      </c>
      <c r="C173" s="2379"/>
      <c r="D173" s="2379"/>
      <c r="E173" s="2379"/>
      <c r="F173" s="2363">
        <v>0.05</v>
      </c>
      <c r="G173" s="2375"/>
    </row>
    <row r="174" spans="1:7">
      <c r="A174" s="2373" t="s">
        <v>27</v>
      </c>
      <c r="B174" s="2362" t="s">
        <v>3078</v>
      </c>
      <c r="C174" s="2379"/>
      <c r="D174" s="2379"/>
      <c r="E174" s="2379"/>
      <c r="F174" s="2363">
        <v>0.05</v>
      </c>
      <c r="G174" s="2375"/>
    </row>
    <row r="175" spans="1:7">
      <c r="A175" s="2373" t="s">
        <v>27</v>
      </c>
      <c r="B175" s="2362" t="s">
        <v>3079</v>
      </c>
      <c r="C175" s="2379"/>
      <c r="D175" s="2379"/>
      <c r="E175" s="2379"/>
      <c r="F175" s="2363">
        <v>0.05</v>
      </c>
      <c r="G175" s="2375"/>
    </row>
    <row r="176" spans="1:7">
      <c r="A176" s="2373" t="s">
        <v>27</v>
      </c>
      <c r="B176" s="2362" t="s">
        <v>3080</v>
      </c>
      <c r="C176" s="2379"/>
      <c r="D176" s="2379"/>
      <c r="E176" s="2379"/>
      <c r="F176" s="2363">
        <v>0.05</v>
      </c>
      <c r="G176" s="2375"/>
    </row>
    <row r="177" spans="1:7">
      <c r="A177" s="2373" t="s">
        <v>27</v>
      </c>
      <c r="B177" s="2362" t="s">
        <v>3081</v>
      </c>
      <c r="C177" s="2374"/>
      <c r="D177" s="2374"/>
      <c r="E177" s="2374"/>
      <c r="F177" s="2363">
        <v>0.05</v>
      </c>
      <c r="G177" s="2380"/>
    </row>
    <row r="178" spans="1:7">
      <c r="A178" s="2373" t="s">
        <v>27</v>
      </c>
      <c r="B178" s="2362" t="s">
        <v>3082</v>
      </c>
      <c r="C178" s="2374"/>
      <c r="D178" s="2374"/>
      <c r="E178" s="2374"/>
      <c r="F178" s="2363">
        <v>0.05</v>
      </c>
      <c r="G178" s="2380"/>
    </row>
    <row r="179" spans="1:7">
      <c r="A179" s="2373" t="s">
        <v>27</v>
      </c>
      <c r="B179" s="2362" t="s">
        <v>3083</v>
      </c>
      <c r="C179" s="2374"/>
      <c r="D179" s="2374"/>
      <c r="E179" s="2374"/>
      <c r="F179" s="2363">
        <v>0.05</v>
      </c>
      <c r="G179" s="2380"/>
    </row>
    <row r="180" spans="1:7">
      <c r="A180" s="2373" t="s">
        <v>27</v>
      </c>
      <c r="B180" s="2362" t="s">
        <v>3084</v>
      </c>
      <c r="C180" s="2374"/>
      <c r="D180" s="2374"/>
      <c r="E180" s="2374"/>
      <c r="F180" s="2363">
        <v>0.05</v>
      </c>
      <c r="G180" s="2380"/>
    </row>
    <row r="181" spans="1:7">
      <c r="A181" s="2373" t="s">
        <v>27</v>
      </c>
      <c r="B181" s="2362" t="s">
        <v>3085</v>
      </c>
      <c r="C181" s="2374"/>
      <c r="D181" s="2374"/>
      <c r="E181" s="2374"/>
      <c r="F181" s="2363">
        <v>0.05</v>
      </c>
      <c r="G181" s="2380"/>
    </row>
    <row r="182" spans="1:7">
      <c r="A182" s="2373" t="s">
        <v>27</v>
      </c>
      <c r="B182" s="2362" t="s">
        <v>3086</v>
      </c>
      <c r="C182" s="2374"/>
      <c r="D182" s="2374"/>
      <c r="E182" s="2374"/>
      <c r="F182" s="2363">
        <v>0.05</v>
      </c>
      <c r="G182" s="2380"/>
    </row>
    <row r="183" spans="1:7">
      <c r="A183" s="2373" t="s">
        <v>27</v>
      </c>
      <c r="B183" s="2362" t="s">
        <v>3087</v>
      </c>
      <c r="C183" s="2374"/>
      <c r="D183" s="2374"/>
      <c r="E183" s="2374"/>
      <c r="F183" s="2363">
        <v>0.05</v>
      </c>
      <c r="G183" s="2380"/>
    </row>
    <row r="184" spans="1:7">
      <c r="A184" s="2373" t="s">
        <v>27</v>
      </c>
      <c r="B184" s="2362" t="s">
        <v>3088</v>
      </c>
      <c r="C184" s="2374"/>
      <c r="D184" s="2374"/>
      <c r="E184" s="2374"/>
      <c r="F184" s="2363">
        <v>0.05</v>
      </c>
      <c r="G184" s="2380"/>
    </row>
    <row r="185" spans="1:7">
      <c r="A185" s="2373" t="s">
        <v>27</v>
      </c>
      <c r="B185" s="2362" t="s">
        <v>3089</v>
      </c>
      <c r="C185" s="2374"/>
      <c r="D185" s="2374"/>
      <c r="E185" s="2374"/>
      <c r="F185" s="2363">
        <v>0.05</v>
      </c>
      <c r="G185" s="2380"/>
    </row>
    <row r="186" spans="1:7">
      <c r="A186" s="2373" t="s">
        <v>27</v>
      </c>
      <c r="B186" s="2362" t="s">
        <v>3090</v>
      </c>
      <c r="C186" s="2374"/>
      <c r="D186" s="2374"/>
      <c r="E186" s="2374"/>
      <c r="F186" s="2363">
        <v>0.05</v>
      </c>
      <c r="G186" s="2380"/>
    </row>
    <row r="187" spans="1:7">
      <c r="A187" s="2373" t="s">
        <v>27</v>
      </c>
      <c r="B187" s="2362" t="s">
        <v>3091</v>
      </c>
      <c r="C187" s="2374"/>
      <c r="D187" s="2374"/>
      <c r="E187" s="2374"/>
      <c r="F187" s="2363">
        <v>0.05</v>
      </c>
      <c r="G187" s="2380"/>
    </row>
    <row r="188" spans="1:7">
      <c r="A188" s="2373" t="s">
        <v>27</v>
      </c>
      <c r="B188" s="2362" t="s">
        <v>3092</v>
      </c>
      <c r="C188" s="2374"/>
      <c r="D188" s="2374"/>
      <c r="E188" s="2374"/>
      <c r="F188" s="2363">
        <v>0.05</v>
      </c>
      <c r="G188" s="2380"/>
    </row>
    <row r="189" spans="1:7" ht="14.5" thickBot="1">
      <c r="A189" s="2376" t="s">
        <v>27</v>
      </c>
      <c r="B189" s="2366" t="s">
        <v>3093</v>
      </c>
      <c r="C189" s="2368"/>
      <c r="D189" s="2368"/>
      <c r="E189" s="2368"/>
      <c r="F189" s="2367">
        <v>0.05</v>
      </c>
      <c r="G189" s="2381"/>
    </row>
    <row r="190" spans="1:7">
      <c r="A190" s="2372" t="s">
        <v>302</v>
      </c>
      <c r="B190" s="2358" t="s">
        <v>2749</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2785</v>
      </c>
      <c r="C199" s="2363">
        <v>0.13</v>
      </c>
      <c r="D199" s="2363">
        <v>0.13</v>
      </c>
      <c r="E199" s="2363">
        <v>0.13</v>
      </c>
      <c r="F199" s="2363">
        <v>0.13</v>
      </c>
      <c r="G199" s="2364">
        <v>0.13</v>
      </c>
    </row>
    <row r="200" spans="1:7">
      <c r="A200" s="2373" t="s">
        <v>302</v>
      </c>
      <c r="B200" s="2362" t="s">
        <v>2788</v>
      </c>
      <c r="C200" s="2379"/>
      <c r="D200" s="2379"/>
      <c r="E200" s="2379"/>
      <c r="F200" s="2363">
        <v>0.13</v>
      </c>
      <c r="G200" s="2375"/>
    </row>
    <row r="201" spans="1:7">
      <c r="A201" s="2373" t="s">
        <v>302</v>
      </c>
      <c r="B201" s="2362" t="s">
        <v>2793</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2796</v>
      </c>
      <c r="C203" s="2363">
        <v>0.129</v>
      </c>
      <c r="D203" s="2363">
        <v>0.129</v>
      </c>
      <c r="E203" s="2363">
        <v>0.13</v>
      </c>
      <c r="F203" s="2363">
        <v>0.13</v>
      </c>
      <c r="G203" s="2364">
        <v>0.13</v>
      </c>
    </row>
    <row r="204" spans="1:7">
      <c r="A204" s="2373" t="s">
        <v>302</v>
      </c>
      <c r="B204" s="2362" t="s">
        <v>2799</v>
      </c>
      <c r="C204" s="2363">
        <v>0.129</v>
      </c>
      <c r="D204" s="2363">
        <v>0.129</v>
      </c>
      <c r="E204" s="2363">
        <v>0.123</v>
      </c>
      <c r="F204" s="2363">
        <v>0.13</v>
      </c>
      <c r="G204" s="2364">
        <v>0.13</v>
      </c>
    </row>
    <row r="205" spans="1:7">
      <c r="A205" s="2373" t="s">
        <v>302</v>
      </c>
      <c r="B205" s="2362" t="s">
        <v>2801</v>
      </c>
      <c r="C205" s="2363">
        <v>0.13</v>
      </c>
      <c r="D205" s="2363">
        <v>0.13</v>
      </c>
      <c r="E205" s="2363">
        <v>0.13</v>
      </c>
      <c r="F205" s="2363">
        <v>0.13</v>
      </c>
      <c r="G205" s="2364">
        <v>0.13</v>
      </c>
    </row>
    <row r="206" spans="1:7">
      <c r="A206" s="2373" t="s">
        <v>302</v>
      </c>
      <c r="B206" s="2362" t="s">
        <v>2804</v>
      </c>
      <c r="C206" s="2363">
        <v>0.13</v>
      </c>
      <c r="D206" s="2363">
        <v>0.13</v>
      </c>
      <c r="E206" s="2363">
        <v>0.13</v>
      </c>
      <c r="F206" s="2363">
        <v>0.128</v>
      </c>
      <c r="G206" s="2364">
        <v>0.13</v>
      </c>
    </row>
    <row r="207" spans="1:7">
      <c r="A207" s="2373" t="s">
        <v>302</v>
      </c>
      <c r="B207" s="2362" t="s">
        <v>2806</v>
      </c>
      <c r="C207" s="2363">
        <v>0.13</v>
      </c>
      <c r="D207" s="2363">
        <v>0.13</v>
      </c>
      <c r="E207" s="2363">
        <v>0.13</v>
      </c>
      <c r="F207" s="2363">
        <v>0.13</v>
      </c>
      <c r="G207" s="2364">
        <v>0.13</v>
      </c>
    </row>
    <row r="208" spans="1:7">
      <c r="A208" s="2373" t="s">
        <v>302</v>
      </c>
      <c r="B208" s="2362" t="s">
        <v>2809</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2816</v>
      </c>
      <c r="C210" s="2363">
        <v>0.121</v>
      </c>
      <c r="D210" s="2363">
        <v>0.121</v>
      </c>
      <c r="E210" s="2363">
        <v>0.125</v>
      </c>
      <c r="F210" s="2363">
        <v>0.13</v>
      </c>
      <c r="G210" s="2364">
        <v>0.123</v>
      </c>
    </row>
    <row r="211" spans="1:7">
      <c r="A211" s="2373" t="s">
        <v>302</v>
      </c>
      <c r="B211" s="2362" t="s">
        <v>2819</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2831</v>
      </c>
      <c r="C214" s="2363">
        <v>0.128</v>
      </c>
      <c r="D214" s="2363">
        <v>0.128</v>
      </c>
      <c r="E214" s="2363">
        <v>0.13</v>
      </c>
      <c r="F214" s="2363">
        <v>0.13</v>
      </c>
      <c r="G214" s="2364">
        <v>0.13</v>
      </c>
    </row>
    <row r="215" spans="1:7">
      <c r="A215" s="2373" t="s">
        <v>302</v>
      </c>
      <c r="B215" s="2362" t="s">
        <v>2835</v>
      </c>
      <c r="C215" s="2363">
        <v>0.13</v>
      </c>
      <c r="D215" s="2363">
        <v>0.13</v>
      </c>
      <c r="E215" s="2363">
        <v>0.13</v>
      </c>
      <c r="F215" s="2363">
        <v>0.129</v>
      </c>
      <c r="G215" s="2364">
        <v>0.13</v>
      </c>
    </row>
    <row r="216" spans="1:7">
      <c r="A216" s="2373" t="s">
        <v>302</v>
      </c>
      <c r="B216" s="2362" t="s">
        <v>2842</v>
      </c>
      <c r="C216" s="2363">
        <v>0.13</v>
      </c>
      <c r="D216" s="2363">
        <v>0.13</v>
      </c>
      <c r="E216" s="2363">
        <v>0.13</v>
      </c>
      <c r="F216" s="2363">
        <v>0.13</v>
      </c>
      <c r="G216" s="2364">
        <v>0.13</v>
      </c>
    </row>
    <row r="217" spans="1:7">
      <c r="A217" s="2373" t="s">
        <v>302</v>
      </c>
      <c r="B217" s="2362" t="s">
        <v>2849</v>
      </c>
      <c r="C217" s="2363">
        <v>0.129</v>
      </c>
      <c r="D217" s="2363">
        <v>0.129</v>
      </c>
      <c r="E217" s="2363">
        <v>0.13</v>
      </c>
      <c r="F217" s="2363">
        <v>0.13</v>
      </c>
      <c r="G217" s="2364">
        <v>0.13</v>
      </c>
    </row>
    <row r="218" spans="1:7">
      <c r="A218" s="2373" t="s">
        <v>302</v>
      </c>
      <c r="B218" s="2362" t="s">
        <v>2855</v>
      </c>
      <c r="C218" s="2374"/>
      <c r="D218" s="2374"/>
      <c r="E218" s="2374"/>
      <c r="F218" s="2363">
        <v>0.05</v>
      </c>
      <c r="G218" s="2380"/>
    </row>
    <row r="219" spans="1:7">
      <c r="A219" s="2373" t="s">
        <v>302</v>
      </c>
      <c r="B219" s="2362" t="s">
        <v>2862</v>
      </c>
      <c r="C219" s="2374"/>
      <c r="D219" s="2374"/>
      <c r="E219" s="2374"/>
      <c r="F219" s="2363">
        <v>0.05</v>
      </c>
      <c r="G219" s="2380"/>
    </row>
    <row r="220" spans="1:7">
      <c r="A220" s="2373" t="s">
        <v>302</v>
      </c>
      <c r="B220" s="2362" t="s">
        <v>2868</v>
      </c>
      <c r="C220" s="2374"/>
      <c r="D220" s="2374"/>
      <c r="E220" s="2374"/>
      <c r="F220" s="2363">
        <v>0.05</v>
      </c>
      <c r="G220" s="2380"/>
    </row>
    <row r="221" spans="1:7">
      <c r="A221" s="2373" t="s">
        <v>302</v>
      </c>
      <c r="B221" s="2362" t="s">
        <v>2873</v>
      </c>
      <c r="C221" s="2374"/>
      <c r="D221" s="2374"/>
      <c r="E221" s="2374"/>
      <c r="F221" s="2363">
        <v>0.05</v>
      </c>
      <c r="G221" s="2380"/>
    </row>
    <row r="222" spans="1:7">
      <c r="A222" s="2373" t="s">
        <v>302</v>
      </c>
      <c r="B222" s="2362" t="s">
        <v>2877</v>
      </c>
      <c r="C222" s="2374"/>
      <c r="D222" s="2374"/>
      <c r="E222" s="2374"/>
      <c r="F222" s="2363">
        <v>0.05</v>
      </c>
      <c r="G222" s="2380"/>
    </row>
    <row r="223" spans="1:7">
      <c r="A223" s="2373" t="s">
        <v>302</v>
      </c>
      <c r="B223" s="2362" t="s">
        <v>2882</v>
      </c>
      <c r="C223" s="2374"/>
      <c r="D223" s="2374"/>
      <c r="E223" s="2374"/>
      <c r="F223" s="2363">
        <v>0.05</v>
      </c>
      <c r="G223" s="2380"/>
    </row>
    <row r="224" spans="1:7">
      <c r="A224" s="2373" t="s">
        <v>302</v>
      </c>
      <c r="B224" s="2362" t="s">
        <v>2887</v>
      </c>
      <c r="C224" s="2374"/>
      <c r="D224" s="2374"/>
      <c r="E224" s="2374"/>
      <c r="F224" s="2363">
        <v>0.05</v>
      </c>
      <c r="G224" s="2380"/>
    </row>
    <row r="225" spans="1:7">
      <c r="A225" s="2373" t="s">
        <v>302</v>
      </c>
      <c r="B225" s="2362" t="s">
        <v>2892</v>
      </c>
      <c r="C225" s="2374"/>
      <c r="D225" s="2374"/>
      <c r="E225" s="2374"/>
      <c r="F225" s="2363">
        <v>0.05</v>
      </c>
      <c r="G225" s="2380"/>
    </row>
    <row r="226" spans="1:7">
      <c r="A226" s="2373" t="s">
        <v>302</v>
      </c>
      <c r="B226" s="2362" t="s">
        <v>3094</v>
      </c>
      <c r="C226" s="2374"/>
      <c r="D226" s="2374"/>
      <c r="E226" s="2374"/>
      <c r="F226" s="2363">
        <v>0.05</v>
      </c>
      <c r="G226" s="2380"/>
    </row>
    <row r="227" spans="1:7">
      <c r="A227" s="2373" t="s">
        <v>302</v>
      </c>
      <c r="B227" s="2362" t="s">
        <v>3095</v>
      </c>
      <c r="C227" s="2374"/>
      <c r="D227" s="2374"/>
      <c r="E227" s="2374"/>
      <c r="F227" s="2363">
        <v>0.05</v>
      </c>
      <c r="G227" s="2380"/>
    </row>
    <row r="228" spans="1:7">
      <c r="A228" s="2373" t="s">
        <v>302</v>
      </c>
      <c r="B228" s="2362" t="s">
        <v>3096</v>
      </c>
      <c r="C228" s="2374"/>
      <c r="D228" s="2374"/>
      <c r="E228" s="2374"/>
      <c r="F228" s="2363">
        <v>0.05</v>
      </c>
      <c r="G228" s="2380"/>
    </row>
    <row r="229" spans="1:7">
      <c r="A229" s="2373" t="s">
        <v>302</v>
      </c>
      <c r="B229" s="2362" t="s">
        <v>3097</v>
      </c>
      <c r="C229" s="2374"/>
      <c r="D229" s="2374"/>
      <c r="E229" s="2374"/>
      <c r="F229" s="2363">
        <v>0.05</v>
      </c>
      <c r="G229" s="2380"/>
    </row>
    <row r="230" spans="1:7">
      <c r="A230" s="2373" t="s">
        <v>302</v>
      </c>
      <c r="B230" s="2362" t="s">
        <v>3098</v>
      </c>
      <c r="C230" s="2374"/>
      <c r="D230" s="2374"/>
      <c r="E230" s="2374"/>
      <c r="F230" s="2363">
        <v>0.05</v>
      </c>
      <c r="G230" s="2380"/>
    </row>
    <row r="231" spans="1:7">
      <c r="A231" s="2373" t="s">
        <v>302</v>
      </c>
      <c r="B231" s="2362" t="s">
        <v>3099</v>
      </c>
      <c r="C231" s="2374"/>
      <c r="D231" s="2374"/>
      <c r="E231" s="2374"/>
      <c r="F231" s="2363">
        <v>0.05</v>
      </c>
      <c r="G231" s="2380"/>
    </row>
    <row r="232" spans="1:7">
      <c r="A232" s="2373" t="s">
        <v>302</v>
      </c>
      <c r="B232" s="2362" t="s">
        <v>3100</v>
      </c>
      <c r="C232" s="2374"/>
      <c r="D232" s="2374"/>
      <c r="E232" s="2374"/>
      <c r="F232" s="2363">
        <v>0.05</v>
      </c>
      <c r="G232" s="2380"/>
    </row>
    <row r="233" spans="1:7" ht="14.5" thickBot="1">
      <c r="A233" s="2376" t="s">
        <v>302</v>
      </c>
      <c r="B233" s="2366" t="s">
        <v>3101</v>
      </c>
      <c r="C233" s="2368"/>
      <c r="D233" s="2368"/>
      <c r="E233" s="2368"/>
      <c r="F233" s="2367">
        <v>0.05</v>
      </c>
      <c r="G233" s="2381"/>
    </row>
    <row r="234" spans="1:7">
      <c r="A234" s="2372" t="s">
        <v>303</v>
      </c>
      <c r="B234" s="2358" t="s">
        <v>2750</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2770</v>
      </c>
      <c r="C238" s="2363">
        <v>0.14899999999999999</v>
      </c>
      <c r="D238" s="2363">
        <v>0.14899999999999999</v>
      </c>
      <c r="E238" s="2363">
        <v>0.15</v>
      </c>
      <c r="F238" s="2363">
        <v>0.15</v>
      </c>
      <c r="G238" s="2364">
        <v>0.15</v>
      </c>
    </row>
    <row r="239" spans="1:7">
      <c r="A239" s="2373" t="s">
        <v>303</v>
      </c>
      <c r="B239" s="2362" t="s">
        <v>2774</v>
      </c>
      <c r="C239" s="2363">
        <v>0.15</v>
      </c>
      <c r="D239" s="2363">
        <v>0.15</v>
      </c>
      <c r="E239" s="2363">
        <v>0.15</v>
      </c>
      <c r="F239" s="2363">
        <v>0.15</v>
      </c>
      <c r="G239" s="2364">
        <v>0.15</v>
      </c>
    </row>
    <row r="240" spans="1:7">
      <c r="A240" s="2373" t="s">
        <v>303</v>
      </c>
      <c r="B240" s="2362" t="s">
        <v>2779</v>
      </c>
      <c r="C240" s="2363">
        <v>0.15</v>
      </c>
      <c r="D240" s="2363">
        <v>0.15</v>
      </c>
      <c r="E240" s="2363">
        <v>0.15</v>
      </c>
      <c r="F240" s="2363">
        <v>0.15</v>
      </c>
      <c r="G240" s="2364">
        <v>0.15</v>
      </c>
    </row>
    <row r="241" spans="1:7">
      <c r="A241" s="2373" t="s">
        <v>303</v>
      </c>
      <c r="B241" s="2362" t="s">
        <v>2783</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2789</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2797</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2802</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2810</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2823</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2832</v>
      </c>
      <c r="C258" s="2363">
        <v>0.14299999999999999</v>
      </c>
      <c r="D258" s="2363">
        <v>0.14299999999999999</v>
      </c>
      <c r="E258" s="2363">
        <v>0.15</v>
      </c>
      <c r="F258" s="2363">
        <v>0.14799999999999999</v>
      </c>
      <c r="G258" s="2364">
        <v>0.14599999999999999</v>
      </c>
    </row>
    <row r="259" spans="1:7">
      <c r="A259" s="2373" t="s">
        <v>303</v>
      </c>
      <c r="B259" s="2362" t="s">
        <v>2836</v>
      </c>
      <c r="C259" s="2363">
        <v>0.14399999999999999</v>
      </c>
      <c r="D259" s="2363">
        <v>0.14399999999999999</v>
      </c>
      <c r="E259" s="2363">
        <v>0.14899999999999999</v>
      </c>
      <c r="F259" s="2363">
        <v>0.14699999999999999</v>
      </c>
      <c r="G259" s="2364">
        <v>0.14599999999999999</v>
      </c>
    </row>
    <row r="260" spans="1:7">
      <c r="A260" s="2373" t="s">
        <v>303</v>
      </c>
      <c r="B260" s="2362" t="s">
        <v>2843</v>
      </c>
      <c r="C260" s="2363">
        <v>0.109</v>
      </c>
      <c r="D260" s="2363">
        <v>0.111</v>
      </c>
      <c r="E260" s="2363">
        <v>0.13100000000000001</v>
      </c>
      <c r="F260" s="2363">
        <v>0.126</v>
      </c>
      <c r="G260" s="2364">
        <v>0.11899999999999999</v>
      </c>
    </row>
    <row r="261" spans="1:7">
      <c r="A261" s="2373" t="s">
        <v>303</v>
      </c>
      <c r="B261" s="2362" t="s">
        <v>2850</v>
      </c>
      <c r="C261" s="2363">
        <v>0.1</v>
      </c>
      <c r="D261" s="2363">
        <v>0.1</v>
      </c>
      <c r="E261" s="2363">
        <v>0.11799999999999999</v>
      </c>
      <c r="F261" s="2363">
        <v>0.108</v>
      </c>
      <c r="G261" s="2364">
        <v>0.107</v>
      </c>
    </row>
    <row r="262" spans="1:7">
      <c r="A262" s="2373" t="s">
        <v>303</v>
      </c>
      <c r="B262" s="2362" t="s">
        <v>2856</v>
      </c>
      <c r="C262" s="2363">
        <v>0.1</v>
      </c>
      <c r="D262" s="2363">
        <v>0.1</v>
      </c>
      <c r="E262" s="2363">
        <v>0.1</v>
      </c>
      <c r="F262" s="2363">
        <v>0.14099999999999999</v>
      </c>
      <c r="G262" s="2364">
        <v>0.1</v>
      </c>
    </row>
    <row r="263" spans="1:7">
      <c r="A263" s="2373" t="s">
        <v>303</v>
      </c>
      <c r="B263" s="2362" t="s">
        <v>2863</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2874</v>
      </c>
      <c r="C265" s="2374"/>
      <c r="D265" s="2374"/>
      <c r="E265" s="2374"/>
      <c r="F265" s="2363">
        <v>0.05</v>
      </c>
      <c r="G265" s="2380"/>
    </row>
    <row r="266" spans="1:7">
      <c r="A266" s="2373" t="s">
        <v>303</v>
      </c>
      <c r="B266" s="2362" t="s">
        <v>2878</v>
      </c>
      <c r="C266" s="2374"/>
      <c r="D266" s="2374"/>
      <c r="E266" s="2374"/>
      <c r="F266" s="2363">
        <v>0.05</v>
      </c>
      <c r="G266" s="2380"/>
    </row>
    <row r="267" spans="1:7">
      <c r="A267" s="2373" t="s">
        <v>303</v>
      </c>
      <c r="B267" s="2362" t="s">
        <v>2883</v>
      </c>
      <c r="C267" s="2374"/>
      <c r="D267" s="2374"/>
      <c r="E267" s="2374"/>
      <c r="F267" s="2363">
        <v>0.05</v>
      </c>
      <c r="G267" s="2380"/>
    </row>
    <row r="268" spans="1:7">
      <c r="A268" s="2373" t="s">
        <v>303</v>
      </c>
      <c r="B268" s="2362" t="s">
        <v>2888</v>
      </c>
      <c r="C268" s="2374"/>
      <c r="D268" s="2374"/>
      <c r="E268" s="2374"/>
      <c r="F268" s="2363">
        <v>0.05</v>
      </c>
      <c r="G268" s="2380"/>
    </row>
    <row r="269" spans="1:7">
      <c r="A269" s="2373" t="s">
        <v>303</v>
      </c>
      <c r="B269" s="2362" t="s">
        <v>2893</v>
      </c>
      <c r="C269" s="2374"/>
      <c r="D269" s="2374"/>
      <c r="E269" s="2374"/>
      <c r="F269" s="2363">
        <v>0.05</v>
      </c>
      <c r="G269" s="2380"/>
    </row>
    <row r="270" spans="1:7">
      <c r="A270" s="2373" t="s">
        <v>303</v>
      </c>
      <c r="B270" s="2362" t="s">
        <v>2898</v>
      </c>
      <c r="C270" s="2374"/>
      <c r="D270" s="2374"/>
      <c r="E270" s="2374"/>
      <c r="F270" s="2363">
        <v>0.05</v>
      </c>
      <c r="G270" s="2380"/>
    </row>
    <row r="271" spans="1:7">
      <c r="A271" s="2373" t="s">
        <v>303</v>
      </c>
      <c r="B271" s="2362" t="s">
        <v>3102</v>
      </c>
      <c r="C271" s="2374"/>
      <c r="D271" s="2374"/>
      <c r="E271" s="2374"/>
      <c r="F271" s="2363">
        <v>0.05</v>
      </c>
      <c r="G271" s="2380"/>
    </row>
    <row r="272" spans="1:7">
      <c r="A272" s="2373" t="s">
        <v>303</v>
      </c>
      <c r="B272" s="2362" t="s">
        <v>3103</v>
      </c>
      <c r="C272" s="2374"/>
      <c r="D272" s="2374"/>
      <c r="E272" s="2374"/>
      <c r="F272" s="2363">
        <v>0.05</v>
      </c>
      <c r="G272" s="2380"/>
    </row>
    <row r="273" spans="1:7">
      <c r="A273" s="2373" t="s">
        <v>303</v>
      </c>
      <c r="B273" s="2362" t="s">
        <v>3104</v>
      </c>
      <c r="C273" s="2374"/>
      <c r="D273" s="2374"/>
      <c r="E273" s="2374"/>
      <c r="F273" s="2363">
        <v>0.05</v>
      </c>
      <c r="G273" s="2380"/>
    </row>
    <row r="274" spans="1:7">
      <c r="A274" s="2373" t="s">
        <v>303</v>
      </c>
      <c r="B274" s="2362" t="s">
        <v>3105</v>
      </c>
      <c r="C274" s="2374"/>
      <c r="D274" s="2374"/>
      <c r="E274" s="2374"/>
      <c r="F274" s="2363">
        <v>0.05</v>
      </c>
      <c r="G274" s="2380"/>
    </row>
    <row r="275" spans="1:7">
      <c r="A275" s="2373" t="s">
        <v>303</v>
      </c>
      <c r="B275" s="2362" t="s">
        <v>3106</v>
      </c>
      <c r="C275" s="2374"/>
      <c r="D275" s="2374"/>
      <c r="E275" s="2374"/>
      <c r="F275" s="2363">
        <v>0.05</v>
      </c>
      <c r="G275" s="2380"/>
    </row>
    <row r="276" spans="1:7" ht="14.5" thickBot="1">
      <c r="A276" s="2376" t="s">
        <v>303</v>
      </c>
      <c r="B276" s="2366" t="s">
        <v>3107</v>
      </c>
      <c r="C276" s="2368"/>
      <c r="D276" s="2368"/>
      <c r="E276" s="2368"/>
      <c r="F276" s="2367">
        <v>0.05</v>
      </c>
      <c r="G276" s="2381"/>
    </row>
    <row r="277" spans="1:7">
      <c r="A277" s="2372" t="s">
        <v>304</v>
      </c>
      <c r="B277" s="2358" t="s">
        <v>2751</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2763</v>
      </c>
      <c r="C279" s="2363">
        <v>0.15</v>
      </c>
      <c r="D279" s="2363">
        <v>0.15</v>
      </c>
      <c r="E279" s="2363">
        <v>0.15</v>
      </c>
      <c r="F279" s="2363">
        <v>0.15</v>
      </c>
      <c r="G279" s="2364">
        <v>0.15</v>
      </c>
    </row>
    <row r="280" spans="1:7">
      <c r="A280" s="2373" t="s">
        <v>304</v>
      </c>
      <c r="B280" s="2362" t="s">
        <v>2767</v>
      </c>
      <c r="C280" s="2363">
        <v>0.15</v>
      </c>
      <c r="D280" s="2363">
        <v>0.15</v>
      </c>
      <c r="E280" s="2363">
        <v>0.15</v>
      </c>
      <c r="F280" s="2363">
        <v>0.15</v>
      </c>
      <c r="G280" s="2364">
        <v>0.15</v>
      </c>
    </row>
    <row r="281" spans="1:7">
      <c r="A281" s="2373" t="s">
        <v>304</v>
      </c>
      <c r="B281" s="2362" t="s">
        <v>2771</v>
      </c>
      <c r="C281" s="2363">
        <v>0.15</v>
      </c>
      <c r="D281" s="2363">
        <v>0.15</v>
      </c>
      <c r="E281" s="2363">
        <v>0.15</v>
      </c>
      <c r="F281" s="2363">
        <v>0.15</v>
      </c>
      <c r="G281" s="2364">
        <v>0.15</v>
      </c>
    </row>
    <row r="282" spans="1:7">
      <c r="A282" s="2373" t="s">
        <v>304</v>
      </c>
      <c r="B282" s="2362" t="s">
        <v>2775</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2790</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2795</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2805</v>
      </c>
      <c r="C293" s="2363">
        <v>0.15</v>
      </c>
      <c r="D293" s="2363">
        <v>0.15</v>
      </c>
      <c r="E293" s="2363">
        <v>0.15</v>
      </c>
      <c r="F293" s="2363">
        <v>0.14499999999999999</v>
      </c>
      <c r="G293" s="2364">
        <v>0.15</v>
      </c>
    </row>
    <row r="294" spans="1:7">
      <c r="A294" s="2373" t="s">
        <v>304</v>
      </c>
      <c r="B294" s="2362" t="s">
        <v>2807</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2824</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2837</v>
      </c>
      <c r="C302" s="2363">
        <v>0.15</v>
      </c>
      <c r="D302" s="2363">
        <v>0.15</v>
      </c>
      <c r="E302" s="2363">
        <v>0.15</v>
      </c>
      <c r="F302" s="2363">
        <v>0.14699999999999999</v>
      </c>
      <c r="G302" s="2364">
        <v>0.15</v>
      </c>
    </row>
    <row r="303" spans="1:7">
      <c r="A303" s="2373" t="s">
        <v>304</v>
      </c>
      <c r="B303" s="2362" t="s">
        <v>2844</v>
      </c>
      <c r="C303" s="2363">
        <v>0.15</v>
      </c>
      <c r="D303" s="2363">
        <v>0.15</v>
      </c>
      <c r="E303" s="2363">
        <v>0.15</v>
      </c>
      <c r="F303" s="2363">
        <v>0.14199999999999999</v>
      </c>
      <c r="G303" s="2364">
        <v>0.15</v>
      </c>
    </row>
    <row r="304" spans="1:7">
      <c r="A304" s="2373" t="s">
        <v>304</v>
      </c>
      <c r="B304" s="2362" t="s">
        <v>2851</v>
      </c>
      <c r="C304" s="2363">
        <v>0.15</v>
      </c>
      <c r="D304" s="2363">
        <v>0.15</v>
      </c>
      <c r="E304" s="2363">
        <v>0.15</v>
      </c>
      <c r="F304" s="2363">
        <v>0.14499999999999999</v>
      </c>
      <c r="G304" s="2364">
        <v>0.15</v>
      </c>
    </row>
    <row r="305" spans="1:7">
      <c r="A305" s="2373" t="s">
        <v>304</v>
      </c>
      <c r="B305" s="2362" t="s">
        <v>2857</v>
      </c>
      <c r="C305" s="2363">
        <v>0.15</v>
      </c>
      <c r="D305" s="2363">
        <v>0.15</v>
      </c>
      <c r="E305" s="2363">
        <v>0.15</v>
      </c>
      <c r="F305" s="2363">
        <v>0.111</v>
      </c>
      <c r="G305" s="2364">
        <v>0.15</v>
      </c>
    </row>
    <row r="306" spans="1:7">
      <c r="A306" s="2373" t="s">
        <v>304</v>
      </c>
      <c r="B306" s="2362" t="s">
        <v>2864</v>
      </c>
      <c r="C306" s="2363">
        <v>0.15</v>
      </c>
      <c r="D306" s="2363">
        <v>0.15</v>
      </c>
      <c r="E306" s="2363">
        <v>0.15</v>
      </c>
      <c r="F306" s="2363">
        <v>0.126</v>
      </c>
      <c r="G306" s="2364">
        <v>0.15</v>
      </c>
    </row>
    <row r="307" spans="1:7">
      <c r="A307" s="2373" t="s">
        <v>304</v>
      </c>
      <c r="B307" s="2362" t="s">
        <v>2869</v>
      </c>
      <c r="C307" s="2363">
        <v>0.15</v>
      </c>
      <c r="D307" s="2363">
        <v>0.15</v>
      </c>
      <c r="E307" s="2363">
        <v>0.15</v>
      </c>
      <c r="F307" s="2363">
        <v>0.12</v>
      </c>
      <c r="G307" s="2364">
        <v>0.15</v>
      </c>
    </row>
    <row r="308" spans="1:7">
      <c r="A308" s="2373" t="s">
        <v>304</v>
      </c>
      <c r="B308" s="2362" t="s">
        <v>2875</v>
      </c>
      <c r="C308" s="2363">
        <v>0.15</v>
      </c>
      <c r="D308" s="2363">
        <v>0.15</v>
      </c>
      <c r="E308" s="2363">
        <v>0.15</v>
      </c>
      <c r="F308" s="2363">
        <v>0.13</v>
      </c>
      <c r="G308" s="2364">
        <v>0.15</v>
      </c>
    </row>
    <row r="309" spans="1:7">
      <c r="A309" s="2373" t="s">
        <v>304</v>
      </c>
      <c r="B309" s="2362" t="s">
        <v>2879</v>
      </c>
      <c r="C309" s="2363">
        <v>0.15</v>
      </c>
      <c r="D309" s="2363">
        <v>0.15</v>
      </c>
      <c r="E309" s="2363">
        <v>0.15</v>
      </c>
      <c r="F309" s="2363">
        <v>0.14099999999999999</v>
      </c>
      <c r="G309" s="2364">
        <v>0.15</v>
      </c>
    </row>
    <row r="310" spans="1:7">
      <c r="A310" s="2373" t="s">
        <v>304</v>
      </c>
      <c r="B310" s="2362" t="s">
        <v>2884</v>
      </c>
      <c r="C310" s="2363">
        <v>0.15</v>
      </c>
      <c r="D310" s="2363">
        <v>0.15</v>
      </c>
      <c r="E310" s="2363">
        <v>0.15</v>
      </c>
      <c r="F310" s="2363">
        <v>0.15</v>
      </c>
      <c r="G310" s="2364">
        <v>0.15</v>
      </c>
    </row>
    <row r="311" spans="1:7">
      <c r="A311" s="2373" t="s">
        <v>304</v>
      </c>
      <c r="B311" s="2362" t="s">
        <v>2889</v>
      </c>
      <c r="C311" s="2363">
        <v>0.13200000000000001</v>
      </c>
      <c r="D311" s="2363">
        <v>0.13300000000000001</v>
      </c>
      <c r="E311" s="2363">
        <v>0.14499999999999999</v>
      </c>
      <c r="F311" s="2363">
        <v>0.14199999999999999</v>
      </c>
      <c r="G311" s="2364">
        <v>0.14000000000000001</v>
      </c>
    </row>
    <row r="312" spans="1:7">
      <c r="A312" s="2373" t="s">
        <v>304</v>
      </c>
      <c r="B312" s="2362" t="s">
        <v>2894</v>
      </c>
      <c r="C312" s="2363">
        <v>0.13800000000000001</v>
      </c>
      <c r="D312" s="2363">
        <v>0.14000000000000001</v>
      </c>
      <c r="E312" s="2363">
        <v>0.14599999999999999</v>
      </c>
      <c r="F312" s="2363">
        <v>0.14899999999999999</v>
      </c>
      <c r="G312" s="2364">
        <v>0.14199999999999999</v>
      </c>
    </row>
    <row r="313" spans="1:7">
      <c r="A313" s="2373" t="s">
        <v>304</v>
      </c>
      <c r="B313" s="2362" t="s">
        <v>2899</v>
      </c>
      <c r="C313" s="2363">
        <v>0.125</v>
      </c>
      <c r="D313" s="2363">
        <v>0.127</v>
      </c>
      <c r="E313" s="2363">
        <v>0.14399999999999999</v>
      </c>
      <c r="F313" s="2363">
        <v>0.115</v>
      </c>
      <c r="G313" s="2364">
        <v>0.13600000000000001</v>
      </c>
    </row>
    <row r="314" spans="1:7">
      <c r="A314" s="2373" t="s">
        <v>304</v>
      </c>
      <c r="B314" s="2362" t="s">
        <v>3108</v>
      </c>
      <c r="C314" s="2379"/>
      <c r="D314" s="2379"/>
      <c r="E314" s="2379"/>
      <c r="F314" s="2363">
        <v>0.05</v>
      </c>
      <c r="G314" s="2380"/>
    </row>
    <row r="315" spans="1:7">
      <c r="A315" s="2373" t="s">
        <v>304</v>
      </c>
      <c r="B315" s="2362" t="s">
        <v>3109</v>
      </c>
      <c r="C315" s="2379"/>
      <c r="D315" s="2379"/>
      <c r="E315" s="2379"/>
      <c r="F315" s="2363">
        <v>0.05</v>
      </c>
      <c r="G315" s="2380"/>
    </row>
    <row r="316" spans="1:7">
      <c r="A316" s="2373" t="s">
        <v>304</v>
      </c>
      <c r="B316" s="2362" t="s">
        <v>3110</v>
      </c>
      <c r="C316" s="2374"/>
      <c r="D316" s="2374"/>
      <c r="E316" s="2374"/>
      <c r="F316" s="2363">
        <v>0.05</v>
      </c>
      <c r="G316" s="2380"/>
    </row>
    <row r="317" spans="1:7">
      <c r="A317" s="2373" t="s">
        <v>304</v>
      </c>
      <c r="B317" s="2362" t="s">
        <v>3111</v>
      </c>
      <c r="C317" s="2374"/>
      <c r="D317" s="2374"/>
      <c r="E317" s="2374"/>
      <c r="F317" s="2363">
        <v>0.05</v>
      </c>
      <c r="G317" s="2380"/>
    </row>
    <row r="318" spans="1:7">
      <c r="A318" s="2373" t="s">
        <v>304</v>
      </c>
      <c r="B318" s="2362" t="s">
        <v>3112</v>
      </c>
      <c r="C318" s="2374"/>
      <c r="D318" s="2374"/>
      <c r="E318" s="2374"/>
      <c r="F318" s="2363">
        <v>0.05</v>
      </c>
      <c r="G318" s="2380"/>
    </row>
    <row r="319" spans="1:7">
      <c r="A319" s="2373" t="s">
        <v>304</v>
      </c>
      <c r="B319" s="2362" t="s">
        <v>3113</v>
      </c>
      <c r="C319" s="2374"/>
      <c r="D319" s="2374"/>
      <c r="E319" s="2374"/>
      <c r="F319" s="2363">
        <v>0.05</v>
      </c>
      <c r="G319" s="2380"/>
    </row>
    <row r="320" spans="1:7">
      <c r="A320" s="2373" t="s">
        <v>304</v>
      </c>
      <c r="B320" s="2362" t="s">
        <v>3114</v>
      </c>
      <c r="C320" s="2374"/>
      <c r="D320" s="2374"/>
      <c r="E320" s="2374"/>
      <c r="F320" s="2363">
        <v>0.05</v>
      </c>
      <c r="G320" s="2380"/>
    </row>
    <row r="321" spans="1:7">
      <c r="A321" s="2373" t="s">
        <v>304</v>
      </c>
      <c r="B321" s="2362" t="s">
        <v>3115</v>
      </c>
      <c r="C321" s="2374"/>
      <c r="D321" s="2374"/>
      <c r="E321" s="2374"/>
      <c r="F321" s="2363">
        <v>0.05</v>
      </c>
      <c r="G321" s="2380"/>
    </row>
    <row r="322" spans="1:7">
      <c r="A322" s="2373" t="s">
        <v>304</v>
      </c>
      <c r="B322" s="2362" t="s">
        <v>3116</v>
      </c>
      <c r="C322" s="2374"/>
      <c r="D322" s="2374"/>
      <c r="E322" s="2374"/>
      <c r="F322" s="2363">
        <v>0.05</v>
      </c>
      <c r="G322" s="2380"/>
    </row>
    <row r="323" spans="1:7">
      <c r="A323" s="2373" t="s">
        <v>304</v>
      </c>
      <c r="B323" s="2362" t="s">
        <v>3117</v>
      </c>
      <c r="C323" s="2374"/>
      <c r="D323" s="2374"/>
      <c r="E323" s="2374"/>
      <c r="F323" s="2363">
        <v>0.05</v>
      </c>
      <c r="G323" s="2380"/>
    </row>
    <row r="324" spans="1:7">
      <c r="A324" s="2373" t="s">
        <v>304</v>
      </c>
      <c r="B324" s="2362" t="s">
        <v>3118</v>
      </c>
      <c r="C324" s="2374"/>
      <c r="D324" s="2374"/>
      <c r="E324" s="2374"/>
      <c r="F324" s="2363">
        <v>0.05</v>
      </c>
      <c r="G324" s="2380"/>
    </row>
    <row r="325" spans="1:7">
      <c r="A325" s="2373" t="s">
        <v>304</v>
      </c>
      <c r="B325" s="2362" t="s">
        <v>3119</v>
      </c>
      <c r="C325" s="2374"/>
      <c r="D325" s="2374"/>
      <c r="E325" s="2374"/>
      <c r="F325" s="2363">
        <v>0.05</v>
      </c>
      <c r="G325" s="2380"/>
    </row>
    <row r="326" spans="1:7" ht="14.5" thickBot="1">
      <c r="A326" s="2376" t="s">
        <v>304</v>
      </c>
      <c r="B326" s="2366" t="s">
        <v>3120</v>
      </c>
      <c r="C326" s="2368"/>
      <c r="D326" s="2368"/>
      <c r="E326" s="2368"/>
      <c r="F326" s="2367">
        <v>0.05</v>
      </c>
      <c r="G326" s="2381"/>
    </row>
    <row r="327" spans="1:7">
      <c r="A327" s="2372" t="s">
        <v>305</v>
      </c>
      <c r="B327" s="2358" t="s">
        <v>2752</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2764</v>
      </c>
      <c r="C329" s="2363">
        <v>0.15</v>
      </c>
      <c r="D329" s="2363">
        <v>0.15</v>
      </c>
      <c r="E329" s="2363">
        <v>0.15</v>
      </c>
      <c r="F329" s="2363">
        <v>0.15</v>
      </c>
      <c r="G329" s="2364">
        <v>0.15</v>
      </c>
    </row>
    <row r="330" spans="1:7">
      <c r="A330" s="2373" t="s">
        <v>305</v>
      </c>
      <c r="B330" s="2362" t="s">
        <v>2768</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2776</v>
      </c>
      <c r="C332" s="2363">
        <v>0.15</v>
      </c>
      <c r="D332" s="2363">
        <v>0.15</v>
      </c>
      <c r="E332" s="2363">
        <v>0.15</v>
      </c>
      <c r="F332" s="2363">
        <v>0.15</v>
      </c>
      <c r="G332" s="2364">
        <v>0.15</v>
      </c>
    </row>
    <row r="333" spans="1:7">
      <c r="A333" s="2373" t="s">
        <v>305</v>
      </c>
      <c r="B333" s="2362" t="s">
        <v>2780</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2786</v>
      </c>
      <c r="C336" s="2363">
        <v>0.15</v>
      </c>
      <c r="D336" s="2363">
        <v>0.15</v>
      </c>
      <c r="E336" s="2363">
        <v>0.15</v>
      </c>
      <c r="F336" s="2363">
        <v>0.14199999999999999</v>
      </c>
      <c r="G336" s="2364">
        <v>0.15</v>
      </c>
    </row>
    <row r="337" spans="1:7">
      <c r="A337" s="2373" t="s">
        <v>305</v>
      </c>
      <c r="B337" s="2362" t="s">
        <v>2791</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2798</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2803</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2811</v>
      </c>
      <c r="C345" s="2363">
        <v>0.15</v>
      </c>
      <c r="D345" s="2363">
        <v>0.15</v>
      </c>
      <c r="E345" s="2363">
        <v>0.15</v>
      </c>
      <c r="F345" s="2363">
        <v>0.13800000000000001</v>
      </c>
      <c r="G345" s="2364">
        <v>0.15</v>
      </c>
    </row>
    <row r="346" spans="1:7">
      <c r="A346" s="2373" t="s">
        <v>305</v>
      </c>
      <c r="B346" s="2362" t="s">
        <v>2813</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2820</v>
      </c>
      <c r="C348" s="2363">
        <v>0.15</v>
      </c>
      <c r="D348" s="2363">
        <v>0.15</v>
      </c>
      <c r="E348" s="2363">
        <v>0.15</v>
      </c>
      <c r="F348" s="2363">
        <v>0.14399999999999999</v>
      </c>
      <c r="G348" s="2364">
        <v>0.15</v>
      </c>
    </row>
    <row r="349" spans="1:7">
      <c r="A349" s="2373" t="s">
        <v>305</v>
      </c>
      <c r="B349" s="2362" t="s">
        <v>2825</v>
      </c>
      <c r="C349" s="2363">
        <v>0.15</v>
      </c>
      <c r="D349" s="2363">
        <v>0.15</v>
      </c>
      <c r="E349" s="2363">
        <v>0.15</v>
      </c>
      <c r="F349" s="2363">
        <v>0.15</v>
      </c>
      <c r="G349" s="2364">
        <v>0.15</v>
      </c>
    </row>
    <row r="350" spans="1:7">
      <c r="A350" s="2373" t="s">
        <v>305</v>
      </c>
      <c r="B350" s="2362" t="s">
        <v>2828</v>
      </c>
      <c r="C350" s="2363">
        <v>0.15</v>
      </c>
      <c r="D350" s="2363">
        <v>0.15</v>
      </c>
      <c r="E350" s="2363">
        <v>0.15</v>
      </c>
      <c r="F350" s="2363">
        <v>0.14699999999999999</v>
      </c>
      <c r="G350" s="2364">
        <v>0.15</v>
      </c>
    </row>
    <row r="351" spans="1:7">
      <c r="A351" s="2373" t="s">
        <v>305</v>
      </c>
      <c r="B351" s="2362" t="s">
        <v>2833</v>
      </c>
      <c r="C351" s="2363">
        <v>0.15</v>
      </c>
      <c r="D351" s="2363">
        <v>0.15</v>
      </c>
      <c r="E351" s="2363">
        <v>0.15</v>
      </c>
      <c r="F351" s="2363">
        <v>0.13</v>
      </c>
      <c r="G351" s="2364">
        <v>0.15</v>
      </c>
    </row>
    <row r="352" spans="1:7">
      <c r="A352" s="2373" t="s">
        <v>305</v>
      </c>
      <c r="B352" s="2362" t="s">
        <v>2838</v>
      </c>
      <c r="C352" s="2363">
        <v>0.15</v>
      </c>
      <c r="D352" s="2363">
        <v>0.15</v>
      </c>
      <c r="E352" s="2363">
        <v>0.15</v>
      </c>
      <c r="F352" s="2363">
        <v>0.14599999999999999</v>
      </c>
      <c r="G352" s="2364">
        <v>0.15</v>
      </c>
    </row>
    <row r="353" spans="1:7">
      <c r="A353" s="2373" t="s">
        <v>305</v>
      </c>
      <c r="B353" s="2362" t="s">
        <v>2845</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2858</v>
      </c>
      <c r="C355" s="2363">
        <v>0.15</v>
      </c>
      <c r="D355" s="2363">
        <v>0.15</v>
      </c>
      <c r="E355" s="2363">
        <v>0.15</v>
      </c>
      <c r="F355" s="2363">
        <v>0.15</v>
      </c>
      <c r="G355" s="2364">
        <v>0.15</v>
      </c>
    </row>
    <row r="356" spans="1:7">
      <c r="A356" s="2373" t="s">
        <v>305</v>
      </c>
      <c r="B356" s="2362" t="s">
        <v>2865</v>
      </c>
      <c r="C356" s="2363">
        <v>0.15</v>
      </c>
      <c r="D356" s="2363">
        <v>0.15</v>
      </c>
      <c r="E356" s="2363">
        <v>0.15</v>
      </c>
      <c r="F356" s="2363">
        <v>0.15</v>
      </c>
      <c r="G356" s="2364">
        <v>0.15</v>
      </c>
    </row>
    <row r="357" spans="1:7" ht="14.5" thickBot="1">
      <c r="A357" s="2376" t="s">
        <v>305</v>
      </c>
      <c r="B357" s="2366" t="s">
        <v>2870</v>
      </c>
      <c r="C357" s="2367">
        <v>0.126</v>
      </c>
      <c r="D357" s="2367">
        <v>0.127</v>
      </c>
      <c r="E357" s="2367">
        <v>0.14299999999999999</v>
      </c>
      <c r="F357" s="2367">
        <v>0.125</v>
      </c>
      <c r="G357" s="2369">
        <v>0.129</v>
      </c>
    </row>
    <row r="358" spans="1:7">
      <c r="A358" s="2372" t="s">
        <v>2739</v>
      </c>
      <c r="B358" s="2358" t="s">
        <v>2753</v>
      </c>
      <c r="C358" s="2359">
        <v>0.15</v>
      </c>
      <c r="D358" s="2359">
        <v>0.15</v>
      </c>
      <c r="E358" s="2359">
        <v>0.15</v>
      </c>
      <c r="F358" s="2359">
        <v>0.15</v>
      </c>
      <c r="G358" s="2360">
        <v>0.15</v>
      </c>
    </row>
    <row r="359" spans="1:7">
      <c r="A359" s="2373" t="s">
        <v>2739</v>
      </c>
      <c r="B359" s="2362" t="s">
        <v>2759</v>
      </c>
      <c r="C359" s="2363">
        <v>0.1</v>
      </c>
      <c r="D359" s="2363">
        <v>0.1</v>
      </c>
      <c r="E359" s="2363">
        <v>0.1</v>
      </c>
      <c r="F359" s="2363">
        <v>0.1</v>
      </c>
      <c r="G359" s="2364">
        <v>0.1</v>
      </c>
    </row>
    <row r="360" spans="1:7">
      <c r="A360" s="2373" t="s">
        <v>2739</v>
      </c>
      <c r="B360" s="2362" t="s">
        <v>2765</v>
      </c>
      <c r="C360" s="2363">
        <v>0.15</v>
      </c>
      <c r="D360" s="2363">
        <v>0.15</v>
      </c>
      <c r="E360" s="2363">
        <v>0.15</v>
      </c>
      <c r="F360" s="2363">
        <v>0.14899999999999999</v>
      </c>
      <c r="G360" s="2364">
        <v>0.15</v>
      </c>
    </row>
    <row r="361" spans="1:7">
      <c r="A361" s="2373" t="s">
        <v>2739</v>
      </c>
      <c r="B361" s="2362" t="s">
        <v>151</v>
      </c>
      <c r="C361" s="2363">
        <v>0.15</v>
      </c>
      <c r="D361" s="2363">
        <v>0.15</v>
      </c>
      <c r="E361" s="2363">
        <v>0.15</v>
      </c>
      <c r="F361" s="2363">
        <v>0.115</v>
      </c>
      <c r="G361" s="2364">
        <v>0.15</v>
      </c>
    </row>
    <row r="362" spans="1:7">
      <c r="A362" s="2373" t="s">
        <v>2739</v>
      </c>
      <c r="B362" s="2362" t="s">
        <v>2772</v>
      </c>
      <c r="C362" s="2363">
        <v>0.15</v>
      </c>
      <c r="D362" s="2363">
        <v>0.15</v>
      </c>
      <c r="E362" s="2363">
        <v>0.15</v>
      </c>
      <c r="F362" s="2363">
        <v>0.106</v>
      </c>
      <c r="G362" s="2364">
        <v>0.15</v>
      </c>
    </row>
    <row r="363" spans="1:7">
      <c r="A363" s="2373" t="s">
        <v>2739</v>
      </c>
      <c r="B363" s="2362" t="s">
        <v>2777</v>
      </c>
      <c r="C363" s="2363">
        <v>0.15</v>
      </c>
      <c r="D363" s="2363">
        <v>0.15</v>
      </c>
      <c r="E363" s="2363">
        <v>0.15</v>
      </c>
      <c r="F363" s="2363">
        <v>0.14699999999999999</v>
      </c>
      <c r="G363" s="2364">
        <v>0.15</v>
      </c>
    </row>
    <row r="364" spans="1:7">
      <c r="A364" s="2373" t="s">
        <v>2739</v>
      </c>
      <c r="B364" s="2362" t="s">
        <v>2781</v>
      </c>
      <c r="C364" s="2363">
        <v>0.15</v>
      </c>
      <c r="D364" s="2363">
        <v>0.15</v>
      </c>
      <c r="E364" s="2363">
        <v>0.15</v>
      </c>
      <c r="F364" s="2363">
        <v>0.14799999999999999</v>
      </c>
      <c r="G364" s="2364">
        <v>0.15</v>
      </c>
    </row>
    <row r="365" spans="1:7">
      <c r="A365" s="2373" t="s">
        <v>2739</v>
      </c>
      <c r="B365" s="2362" t="s">
        <v>198</v>
      </c>
      <c r="C365" s="2363">
        <v>0.15</v>
      </c>
      <c r="D365" s="2363">
        <v>0.15</v>
      </c>
      <c r="E365" s="2363">
        <v>0.15</v>
      </c>
      <c r="F365" s="2363">
        <v>0.15</v>
      </c>
      <c r="G365" s="2364">
        <v>0.15</v>
      </c>
    </row>
    <row r="366" spans="1:7">
      <c r="A366" s="2373" t="s">
        <v>2739</v>
      </c>
      <c r="B366" s="2362" t="s">
        <v>2784</v>
      </c>
      <c r="C366" s="2363">
        <v>0.15</v>
      </c>
      <c r="D366" s="2363">
        <v>0.15</v>
      </c>
      <c r="E366" s="2363">
        <v>0.15</v>
      </c>
      <c r="F366" s="2363">
        <v>0.15</v>
      </c>
      <c r="G366" s="2364">
        <v>0.15</v>
      </c>
    </row>
    <row r="367" spans="1:7">
      <c r="A367" s="2373" t="s">
        <v>2739</v>
      </c>
      <c r="B367" s="2362" t="s">
        <v>2787</v>
      </c>
      <c r="C367" s="2363">
        <v>0.15</v>
      </c>
      <c r="D367" s="2363">
        <v>0.15</v>
      </c>
      <c r="E367" s="2363">
        <v>0.15</v>
      </c>
      <c r="F367" s="2363">
        <v>0.14699999999999999</v>
      </c>
      <c r="G367" s="2364">
        <v>0.15</v>
      </c>
    </row>
    <row r="368" spans="1:7">
      <c r="A368" s="2373" t="s">
        <v>2739</v>
      </c>
      <c r="B368" s="2362" t="s">
        <v>2792</v>
      </c>
      <c r="C368" s="2363">
        <v>0.15</v>
      </c>
      <c r="D368" s="2363">
        <v>0.15</v>
      </c>
      <c r="E368" s="2363">
        <v>0.15</v>
      </c>
      <c r="F368" s="2363">
        <v>0.13600000000000001</v>
      </c>
      <c r="G368" s="2364">
        <v>0.15</v>
      </c>
    </row>
    <row r="369" spans="1:7">
      <c r="A369" s="2373" t="s">
        <v>2739</v>
      </c>
      <c r="B369" s="2362" t="s">
        <v>212</v>
      </c>
      <c r="C369" s="2363">
        <v>0.15</v>
      </c>
      <c r="D369" s="2363">
        <v>0.15</v>
      </c>
      <c r="E369" s="2363">
        <v>0.15</v>
      </c>
      <c r="F369" s="2363">
        <v>0.14399999999999999</v>
      </c>
      <c r="G369" s="2364">
        <v>0.15</v>
      </c>
    </row>
    <row r="370" spans="1:7">
      <c r="A370" s="2373" t="s">
        <v>2739</v>
      </c>
      <c r="B370" s="2362" t="s">
        <v>219</v>
      </c>
      <c r="C370" s="2363">
        <v>0.15</v>
      </c>
      <c r="D370" s="2363">
        <v>0.15</v>
      </c>
      <c r="E370" s="2363">
        <v>0.15</v>
      </c>
      <c r="F370" s="2363">
        <v>0.14599999999999999</v>
      </c>
      <c r="G370" s="2364">
        <v>0.15</v>
      </c>
    </row>
    <row r="371" spans="1:7">
      <c r="A371" s="2373" t="s">
        <v>2739</v>
      </c>
      <c r="B371" s="2362" t="s">
        <v>227</v>
      </c>
      <c r="C371" s="2363">
        <v>0.15</v>
      </c>
      <c r="D371" s="2363">
        <v>0.15</v>
      </c>
      <c r="E371" s="2363">
        <v>0.15</v>
      </c>
      <c r="F371" s="2363">
        <v>0.12</v>
      </c>
      <c r="G371" s="2364">
        <v>0.15</v>
      </c>
    </row>
    <row r="372" spans="1:7">
      <c r="A372" s="2373" t="s">
        <v>2739</v>
      </c>
      <c r="B372" s="2362" t="s">
        <v>2800</v>
      </c>
      <c r="C372" s="2363">
        <v>0.15</v>
      </c>
      <c r="D372" s="2363">
        <v>0.15</v>
      </c>
      <c r="E372" s="2363">
        <v>0.15</v>
      </c>
      <c r="F372" s="2363">
        <v>0.14299999999999999</v>
      </c>
      <c r="G372" s="2364">
        <v>0.15</v>
      </c>
    </row>
    <row r="373" spans="1:7">
      <c r="A373" s="2373" t="s">
        <v>2739</v>
      </c>
      <c r="B373" s="2362" t="s">
        <v>256</v>
      </c>
      <c r="C373" s="2363">
        <v>0.15</v>
      </c>
      <c r="D373" s="2363">
        <v>0.15</v>
      </c>
      <c r="E373" s="2363">
        <v>0.15</v>
      </c>
      <c r="F373" s="2363">
        <v>0.14599999999999999</v>
      </c>
      <c r="G373" s="2364">
        <v>0.15</v>
      </c>
    </row>
    <row r="374" spans="1:7">
      <c r="A374" s="2373" t="s">
        <v>2739</v>
      </c>
      <c r="B374" s="2362" t="s">
        <v>264</v>
      </c>
      <c r="C374" s="2363">
        <v>0.15</v>
      </c>
      <c r="D374" s="2363">
        <v>0.15</v>
      </c>
      <c r="E374" s="2363">
        <v>0.15</v>
      </c>
      <c r="F374" s="2363">
        <v>0.14399999999999999</v>
      </c>
      <c r="G374" s="2364">
        <v>0.15</v>
      </c>
    </row>
    <row r="375" spans="1:7">
      <c r="A375" s="2373" t="s">
        <v>2739</v>
      </c>
      <c r="B375" s="2362" t="s">
        <v>2808</v>
      </c>
      <c r="C375" s="2363">
        <v>0.15</v>
      </c>
      <c r="D375" s="2363">
        <v>0.15</v>
      </c>
      <c r="E375" s="2363">
        <v>0.15</v>
      </c>
      <c r="F375" s="2363">
        <v>0.13</v>
      </c>
      <c r="G375" s="2364">
        <v>0.15</v>
      </c>
    </row>
    <row r="376" spans="1:7">
      <c r="A376" s="2373" t="s">
        <v>2739</v>
      </c>
      <c r="B376" s="2362" t="s">
        <v>275</v>
      </c>
      <c r="C376" s="2363">
        <v>0.15</v>
      </c>
      <c r="D376" s="2363">
        <v>0.15</v>
      </c>
      <c r="E376" s="2363">
        <v>0.15</v>
      </c>
      <c r="F376" s="2363">
        <v>0.14199999999999999</v>
      </c>
      <c r="G376" s="2364">
        <v>0.15</v>
      </c>
    </row>
    <row r="377" spans="1:7" ht="14.5" thickBot="1">
      <c r="A377" s="2376" t="s">
        <v>2739</v>
      </c>
      <c r="B377" s="2366" t="s">
        <v>2814</v>
      </c>
      <c r="C377" s="2367">
        <v>0.15</v>
      </c>
      <c r="D377" s="2367">
        <v>0.15</v>
      </c>
      <c r="E377" s="2367">
        <v>0.15</v>
      </c>
      <c r="F377" s="2367">
        <v>0.14000000000000001</v>
      </c>
      <c r="G377" s="2369">
        <v>0.15</v>
      </c>
    </row>
    <row r="378" spans="1:7">
      <c r="A378" s="2372" t="s">
        <v>2740</v>
      </c>
      <c r="B378" s="2358" t="s">
        <v>2754</v>
      </c>
      <c r="C378" s="2359">
        <v>0.15</v>
      </c>
      <c r="D378" s="2359">
        <v>0.15</v>
      </c>
      <c r="E378" s="2359">
        <v>0.15</v>
      </c>
      <c r="F378" s="2359">
        <v>0.107</v>
      </c>
      <c r="G378" s="2360">
        <v>0.15</v>
      </c>
    </row>
    <row r="379" spans="1:7">
      <c r="A379" s="2373" t="s">
        <v>2740</v>
      </c>
      <c r="B379" s="2362" t="s">
        <v>2760</v>
      </c>
      <c r="C379" s="2363">
        <v>0.15</v>
      </c>
      <c r="D379" s="2363">
        <v>0.15</v>
      </c>
      <c r="E379" s="2363">
        <v>0.15</v>
      </c>
      <c r="F379" s="2363">
        <v>0.115</v>
      </c>
      <c r="G379" s="2364">
        <v>0.14899999999999999</v>
      </c>
    </row>
    <row r="380" spans="1:7">
      <c r="A380" s="2373" t="s">
        <v>2740</v>
      </c>
      <c r="B380" s="2362" t="s">
        <v>2766</v>
      </c>
      <c r="C380" s="2363">
        <v>0.15</v>
      </c>
      <c r="D380" s="2363">
        <v>0.15</v>
      </c>
      <c r="E380" s="2363">
        <v>0.15</v>
      </c>
      <c r="F380" s="2363">
        <v>0.1</v>
      </c>
      <c r="G380" s="2364">
        <v>0.14799999999999999</v>
      </c>
    </row>
    <row r="381" spans="1:7">
      <c r="A381" s="2373" t="s">
        <v>2740</v>
      </c>
      <c r="B381" s="2362" t="s">
        <v>2769</v>
      </c>
      <c r="C381" s="2363">
        <v>0.15</v>
      </c>
      <c r="D381" s="2363">
        <v>0.15</v>
      </c>
      <c r="E381" s="2363">
        <v>0.15</v>
      </c>
      <c r="F381" s="2363">
        <v>0.126</v>
      </c>
      <c r="G381" s="2364">
        <v>0.15</v>
      </c>
    </row>
    <row r="382" spans="1:7">
      <c r="A382" s="2373" t="s">
        <v>2740</v>
      </c>
      <c r="B382" s="2362" t="s">
        <v>2773</v>
      </c>
      <c r="C382" s="2363">
        <v>0.15</v>
      </c>
      <c r="D382" s="2363">
        <v>0.15</v>
      </c>
      <c r="E382" s="2363">
        <v>0.15</v>
      </c>
      <c r="F382" s="2363">
        <v>0.15</v>
      </c>
      <c r="G382" s="2364">
        <v>0.15</v>
      </c>
    </row>
    <row r="383" spans="1:7">
      <c r="A383" s="2373" t="s">
        <v>2740</v>
      </c>
      <c r="B383" s="2362" t="s">
        <v>2778</v>
      </c>
      <c r="C383" s="2363">
        <v>0.15</v>
      </c>
      <c r="D383" s="2363">
        <v>0.15</v>
      </c>
      <c r="E383" s="2363">
        <v>0.15</v>
      </c>
      <c r="F383" s="2363">
        <v>0.14699999999999999</v>
      </c>
      <c r="G383" s="2364">
        <v>0.15</v>
      </c>
    </row>
    <row r="384" spans="1:7" ht="14.5" thickBot="1">
      <c r="A384" s="2383" t="s">
        <v>2740</v>
      </c>
      <c r="B384" s="2384" t="s">
        <v>2782</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8"/>
  </cols>
  <sheetData>
    <row r="1" spans="1:6">
      <c r="A1" s="4730" t="s">
        <v>3121</v>
      </c>
      <c r="B1" s="4730"/>
      <c r="C1" s="4730"/>
      <c r="D1" s="4730"/>
      <c r="E1" s="4730"/>
      <c r="F1" s="4731"/>
    </row>
    <row r="2" spans="1:6">
      <c r="A2" s="2387" t="s">
        <v>3122</v>
      </c>
    </row>
    <row r="3" spans="1:6">
      <c r="A3" s="2387" t="s">
        <v>3123</v>
      </c>
      <c r="F3" s="2388" t="s">
        <v>3124</v>
      </c>
    </row>
    <row r="4" spans="1:6">
      <c r="A4" s="2389" t="s">
        <v>659</v>
      </c>
      <c r="B4" s="2389" t="s">
        <v>660</v>
      </c>
      <c r="C4" s="2389" t="s">
        <v>19</v>
      </c>
      <c r="D4" s="2389" t="s">
        <v>661</v>
      </c>
      <c r="E4" s="2389" t="s">
        <v>3</v>
      </c>
      <c r="F4" s="2389" t="s">
        <v>3125</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307" t="str">
        <f>IF(项目基本情况!B9="房地产市场价值","估价结果一览表","结果表-2")</f>
        <v>结果表-2</v>
      </c>
      <c r="B1" s="4307"/>
      <c r="C1" s="4307"/>
      <c r="D1" s="4307"/>
      <c r="E1" s="4307"/>
      <c r="F1" s="4307"/>
      <c r="G1" s="4307"/>
      <c r="H1" s="4307"/>
      <c r="I1" s="4307"/>
    </row>
    <row r="2" spans="1:9" ht="30" customHeight="1" thickTop="1">
      <c r="A2" s="4308" t="s">
        <v>912</v>
      </c>
      <c r="B2" s="4308" t="s">
        <v>913</v>
      </c>
      <c r="C2" s="4308" t="s">
        <v>914</v>
      </c>
      <c r="D2" s="4308" t="str">
        <f>结果表!D116</f>
        <v>出让国有建设用地使用权价值</v>
      </c>
      <c r="E2" s="4308"/>
      <c r="F2" s="4308">
        <f>结果表!F116</f>
        <v>0</v>
      </c>
      <c r="G2" s="4308"/>
      <c r="H2" s="4308" t="str">
        <f>IF(项目基本情况!B9="房地产市场价值","房地产市场价值","房地产价值")</f>
        <v>房地产价值</v>
      </c>
      <c r="I2" s="4308"/>
    </row>
    <row r="3" spans="1:9" ht="16">
      <c r="A3" s="4303"/>
      <c r="B3" s="4303"/>
      <c r="C3" s="4303"/>
      <c r="D3" s="544" t="s">
        <v>909</v>
      </c>
      <c r="E3" s="544" t="s">
        <v>915</v>
      </c>
      <c r="F3" s="544" t="s">
        <v>909</v>
      </c>
      <c r="G3" s="544" t="s">
        <v>910</v>
      </c>
      <c r="H3" s="544" t="s">
        <v>909</v>
      </c>
      <c r="I3" s="544" t="s">
        <v>910</v>
      </c>
    </row>
    <row r="4" spans="1:9" ht="31">
      <c r="A4" s="1047" t="str">
        <f>项目基本情况!S2</f>
        <v>北京市东城区朝阳门北大街8号房地产</v>
      </c>
      <c r="B4" s="544">
        <f>项目基本情况!C17</f>
        <v>12000.230000000001</v>
      </c>
      <c r="C4" s="544">
        <f>项目基本情况!C18</f>
        <v>1066.21</v>
      </c>
      <c r="D4" s="544">
        <f ca="1">结果表!E118</f>
        <v>19262</v>
      </c>
      <c r="E4" s="544">
        <f ca="1">结果表!D118</f>
        <v>16051</v>
      </c>
      <c r="F4" s="544">
        <f ca="1">结果表!G118</f>
        <v>13056</v>
      </c>
      <c r="G4" s="544">
        <f ca="1">结果表!F118</f>
        <v>10880</v>
      </c>
      <c r="H4" s="544">
        <f ca="1">结果表!I118</f>
        <v>32318</v>
      </c>
      <c r="I4" s="544">
        <f ca="1">结果表!H118</f>
        <v>26931</v>
      </c>
    </row>
    <row r="5" spans="1:9" ht="30" customHeight="1">
      <c r="A5" s="4303" t="s">
        <v>911</v>
      </c>
      <c r="B5" s="4303"/>
      <c r="C5" s="4303"/>
      <c r="D5" s="4303" t="str">
        <f ca="1">结果表!D119</f>
        <v>壹亿玖仟贰佰陆拾贰万元整</v>
      </c>
      <c r="E5" s="4303"/>
      <c r="F5" s="4303" t="str">
        <f ca="1">结果表!F119</f>
        <v>壹亿叁仟零伍拾陆万元整</v>
      </c>
      <c r="G5" s="4303"/>
      <c r="H5" s="4303" t="str">
        <f ca="1">结果表!H119</f>
        <v>叁亿贰仟叁佰壹拾捌万元整</v>
      </c>
      <c r="I5" s="4303"/>
    </row>
    <row r="6" spans="1:9" ht="15.5">
      <c r="A6" s="4302" t="str">
        <f>结果表!A120</f>
        <v>估价师知悉的法定优先受偿款</v>
      </c>
      <c r="B6" s="4302"/>
      <c r="C6" s="4302"/>
      <c r="D6" s="4302">
        <f>结果表!H120</f>
        <v>0</v>
      </c>
      <c r="E6" s="4302"/>
      <c r="F6" s="4302"/>
      <c r="G6" s="4302"/>
      <c r="H6" s="4302"/>
      <c r="I6" s="4302"/>
    </row>
    <row r="7" spans="1:9" ht="15.5">
      <c r="A7" s="4303" t="s">
        <v>911</v>
      </c>
      <c r="B7" s="4303"/>
      <c r="C7" s="4303"/>
      <c r="D7" s="4304" t="str">
        <f>结果表!H121</f>
        <v>零元整</v>
      </c>
      <c r="E7" s="4305"/>
      <c r="F7" s="4305"/>
      <c r="G7" s="4305"/>
      <c r="H7" s="4305"/>
      <c r="I7" s="4306"/>
    </row>
    <row r="8" spans="1:9" ht="15.5">
      <c r="A8" s="4302" t="str">
        <f>结果表!A122</f>
        <v>房地产抵押价值</v>
      </c>
      <c r="B8" s="4302"/>
      <c r="C8" s="4302"/>
      <c r="D8" s="4302">
        <f ca="1">结果表!H122</f>
        <v>32318</v>
      </c>
      <c r="E8" s="4302"/>
      <c r="F8" s="4302"/>
      <c r="G8" s="4302"/>
      <c r="H8" s="4302"/>
      <c r="I8" s="4302"/>
    </row>
    <row r="9" spans="1:9" ht="15.5">
      <c r="A9" s="4303" t="s">
        <v>911</v>
      </c>
      <c r="B9" s="4303"/>
      <c r="C9" s="4303"/>
      <c r="D9" s="4303" t="str">
        <f ca="1">结果表!H123</f>
        <v>叁亿贰仟叁佰壹拾捌万元整</v>
      </c>
      <c r="E9" s="4303"/>
      <c r="F9" s="4303"/>
      <c r="G9" s="4303"/>
      <c r="H9" s="4303"/>
      <c r="I9" s="4303"/>
    </row>
    <row r="10" spans="1:9" ht="15.5">
      <c r="A10" s="4302" t="str">
        <f>结果表!A124</f>
        <v/>
      </c>
      <c r="B10" s="4302"/>
      <c r="C10" s="4302"/>
      <c r="D10" s="4302" t="str">
        <f>结果表!H124</f>
        <v>——</v>
      </c>
      <c r="E10" s="4302"/>
      <c r="F10" s="4302"/>
      <c r="G10" s="4302"/>
      <c r="H10" s="4302"/>
      <c r="I10" s="4302"/>
    </row>
    <row r="11" spans="1:9" ht="15.5">
      <c r="A11" s="4303" t="s">
        <v>911</v>
      </c>
      <c r="B11" s="4303"/>
      <c r="C11" s="4303"/>
      <c r="D11" s="4303" t="e">
        <f>结果表!H125</f>
        <v>#VALUE!</v>
      </c>
      <c r="E11" s="4303"/>
      <c r="F11" s="4303"/>
      <c r="G11" s="4303"/>
      <c r="H11" s="4303"/>
      <c r="I11" s="4303"/>
    </row>
    <row r="12" spans="1:9" ht="15.5">
      <c r="A12" s="4302" t="str">
        <f>结果表!A126</f>
        <v>抵押净值</v>
      </c>
      <c r="B12" s="4302"/>
      <c r="C12" s="4302"/>
      <c r="D12" s="4302">
        <f ca="1">结果表!H126</f>
        <v>31979</v>
      </c>
      <c r="E12" s="4302"/>
      <c r="F12" s="4302"/>
      <c r="G12" s="4302"/>
      <c r="H12" s="4302"/>
      <c r="I12" s="4302"/>
    </row>
    <row r="13" spans="1:9" ht="16" thickBot="1">
      <c r="A13" s="4300" t="s">
        <v>911</v>
      </c>
      <c r="B13" s="4300"/>
      <c r="C13" s="4300"/>
      <c r="D13" s="4300" t="str">
        <f ca="1">结果表!H127</f>
        <v>叁亿壹仟玖佰柒拾玖万元整</v>
      </c>
      <c r="E13" s="4300"/>
      <c r="F13" s="4300"/>
      <c r="G13" s="4300"/>
      <c r="H13" s="4300"/>
      <c r="I13" s="4300"/>
    </row>
    <row r="14" spans="1:9" ht="14.5" thickTop="1">
      <c r="A14" s="4301" t="s">
        <v>916</v>
      </c>
      <c r="B14" s="4301"/>
      <c r="C14" s="4301"/>
      <c r="D14" s="4301"/>
      <c r="E14" s="4301"/>
      <c r="F14" s="4301"/>
      <c r="G14" s="4301"/>
      <c r="H14" s="4301"/>
      <c r="I14" s="4301"/>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6">
        <f>基准地价修正!G23</f>
        <v>46090</v>
      </c>
      <c r="B1" s="2318" t="s">
        <v>3264</v>
      </c>
      <c r="C1" s="2319"/>
      <c r="D1" s="2319"/>
      <c r="E1" s="2319"/>
      <c r="F1" s="2319"/>
      <c r="G1" s="2319"/>
      <c r="H1" s="2319"/>
      <c r="I1" s="2319"/>
      <c r="J1" s="2293"/>
      <c r="K1" s="2319" t="s">
        <v>448</v>
      </c>
      <c r="L1" s="2319"/>
      <c r="M1" s="2319"/>
      <c r="N1" s="2319"/>
      <c r="O1" s="2319"/>
      <c r="P1" s="2319"/>
      <c r="Q1" s="2293"/>
      <c r="R1" s="4732" t="s">
        <v>450</v>
      </c>
      <c r="S1" s="4733"/>
      <c r="T1" s="4733"/>
      <c r="U1" s="4733"/>
      <c r="V1" s="4733"/>
      <c r="W1" s="4733"/>
      <c r="X1" s="2293"/>
      <c r="Y1" s="4732" t="s">
        <v>451</v>
      </c>
      <c r="Z1" s="4733"/>
      <c r="AA1" s="4733"/>
      <c r="AB1" s="4733"/>
      <c r="AC1" s="4733"/>
      <c r="AD1" s="4733"/>
    </row>
    <row r="2" spans="1:44" s="1592" customFormat="1" ht="14.5" thickBot="1">
      <c r="B2" s="2279"/>
      <c r="C2" s="2280"/>
      <c r="D2" s="1593" t="s">
        <v>2699</v>
      </c>
      <c r="E2" s="1594" t="s">
        <v>2700</v>
      </c>
      <c r="F2" s="1594" t="s">
        <v>2701</v>
      </c>
      <c r="G2" s="1594" t="s">
        <v>2702</v>
      </c>
      <c r="H2" s="1594" t="s">
        <v>2703</v>
      </c>
      <c r="I2" s="1594" t="s">
        <v>2520</v>
      </c>
      <c r="J2" s="2281"/>
      <c r="K2" s="1593" t="s">
        <v>2699</v>
      </c>
      <c r="L2" s="1594" t="s">
        <v>2700</v>
      </c>
      <c r="M2" s="1594" t="s">
        <v>2701</v>
      </c>
      <c r="N2" s="1594" t="s">
        <v>2702</v>
      </c>
      <c r="O2" s="1594" t="s">
        <v>2704</v>
      </c>
      <c r="P2" s="1594" t="s">
        <v>2520</v>
      </c>
      <c r="Q2" s="2281"/>
      <c r="R2" s="1593" t="s">
        <v>2699</v>
      </c>
      <c r="S2" s="1594" t="s">
        <v>2700</v>
      </c>
      <c r="T2" s="1594" t="s">
        <v>2701</v>
      </c>
      <c r="U2" s="1594" t="s">
        <v>2705</v>
      </c>
      <c r="V2" s="1594" t="s">
        <v>2706</v>
      </c>
      <c r="W2" s="1594" t="s">
        <v>2520</v>
      </c>
      <c r="X2" s="2281"/>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4" customFormat="1" ht="13">
      <c r="A3" s="2282" t="s">
        <v>2708</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3639</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3">
      <c r="A6" s="1616" t="s">
        <v>3638</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3">
      <c r="A7" s="1616" t="s">
        <v>3637</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3">
      <c r="A8" s="2305" t="s">
        <v>3640</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3">
      <c r="A9" s="1616" t="s">
        <v>3636</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3">
      <c r="A10" s="1616" t="s">
        <v>3641</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3">
      <c r="A11" s="1616" t="s">
        <v>3285</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3">
      <c r="A12" s="1616" t="s">
        <v>3276</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3">
      <c r="A13" s="1616" t="s">
        <v>3275</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3">
      <c r="A14" s="1616" t="s">
        <v>3268</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3">
      <c r="A15" s="2302" t="s">
        <v>3262</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3">
      <c r="A16" s="2302" t="s">
        <v>3261</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3">
      <c r="A17" s="2302" t="s">
        <v>3257</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3">
      <c r="A18" s="2302" t="s">
        <v>3256</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3">
      <c r="A19" s="2302" t="s">
        <v>3254</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3">
      <c r="A20" s="2302" t="s">
        <v>3253</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3">
      <c r="A21" s="2302" t="s">
        <v>3252</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3">
      <c r="A22" s="2302" t="s">
        <v>3250</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3">
      <c r="A23" s="2302" t="s">
        <v>3241</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3">
      <c r="A24" s="2302" t="s">
        <v>2709</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3">
      <c r="A25" s="2302" t="s">
        <v>2710</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3">
      <c r="A26" s="2302" t="s">
        <v>2711</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3">
      <c r="A27" s="2302" t="s">
        <v>2712</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5" thickBot="1">
      <c r="A28" s="2311" t="s">
        <v>2713</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5" thickTop="1"/>
    <row r="30" spans="1:44">
      <c r="A30" s="2485" t="s">
        <v>3267</v>
      </c>
    </row>
    <row r="31" spans="1:44">
      <c r="I31" s="1049" t="s">
        <v>2714</v>
      </c>
    </row>
    <row r="33" spans="1:44" s="1591" customFormat="1" ht="13">
      <c r="B33" s="2318" t="s">
        <v>3265</v>
      </c>
      <c r="C33" s="2319"/>
      <c r="D33" s="2319"/>
      <c r="E33" s="2319"/>
      <c r="F33" s="2319"/>
      <c r="G33" s="2319"/>
      <c r="H33" s="2319"/>
      <c r="I33" s="2319"/>
      <c r="J33" s="2293"/>
      <c r="K33" s="2319" t="s">
        <v>2715</v>
      </c>
      <c r="L33" s="2319"/>
      <c r="M33" s="2319"/>
      <c r="N33" s="2319"/>
      <c r="O33" s="2319"/>
      <c r="P33" s="2319"/>
      <c r="Q33" s="2293"/>
      <c r="R33" s="4732" t="s">
        <v>2716</v>
      </c>
      <c r="S33" s="4733"/>
      <c r="T33" s="4733"/>
      <c r="U33" s="4733"/>
      <c r="V33" s="4733"/>
      <c r="W33" s="4733"/>
      <c r="X33" s="2293"/>
      <c r="Y33" s="4732" t="s">
        <v>2717</v>
      </c>
      <c r="Z33" s="4733"/>
      <c r="AA33" s="4733"/>
      <c r="AB33" s="4733"/>
      <c r="AC33" s="4733"/>
      <c r="AD33" s="4733"/>
    </row>
    <row r="34" spans="1:44" s="1592" customFormat="1" ht="14.5" thickBot="1">
      <c r="B34" s="2279"/>
      <c r="C34" s="2280"/>
      <c r="D34" s="1593" t="s">
        <v>2718</v>
      </c>
      <c r="E34" s="1594" t="s">
        <v>2719</v>
      </c>
      <c r="F34" s="1594" t="s">
        <v>2720</v>
      </c>
      <c r="G34" s="1594" t="s">
        <v>2721</v>
      </c>
      <c r="H34" s="1594"/>
      <c r="I34" s="1594" t="s">
        <v>2722</v>
      </c>
      <c r="J34" s="2281"/>
      <c r="K34" s="1593" t="s">
        <v>2718</v>
      </c>
      <c r="L34" s="1594" t="s">
        <v>2719</v>
      </c>
      <c r="M34" s="1594" t="s">
        <v>2720</v>
      </c>
      <c r="N34" s="1594" t="s">
        <v>2721</v>
      </c>
      <c r="O34" s="1594"/>
      <c r="P34" s="1594" t="s">
        <v>2722</v>
      </c>
      <c r="Q34" s="2281"/>
      <c r="R34" s="1593" t="s">
        <v>2718</v>
      </c>
      <c r="S34" s="1594" t="s">
        <v>2719</v>
      </c>
      <c r="T34" s="1594" t="s">
        <v>2720</v>
      </c>
      <c r="U34" s="1594" t="s">
        <v>2721</v>
      </c>
      <c r="V34" s="1594"/>
      <c r="W34" s="1594" t="s">
        <v>2722</v>
      </c>
      <c r="X34" s="2281"/>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4" customFormat="1" ht="13">
      <c r="A35" s="2282" t="s">
        <v>2723</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3639</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3">
      <c r="A38" s="1616" t="s">
        <v>3638</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3">
      <c r="A39" s="1616" t="s">
        <v>3637</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3">
      <c r="A40" s="2305" t="s">
        <v>3642</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3">
      <c r="A41" s="1616" t="s">
        <v>3636</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3">
      <c r="A42" s="1616" t="s">
        <v>3284</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3">
      <c r="A43" s="1616" t="s">
        <v>3285</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3">
      <c r="A44" s="1616" t="s">
        <v>3274</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3">
      <c r="A45" s="1616" t="s">
        <v>3275</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3">
      <c r="A46" s="1616" t="s">
        <v>3259</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3">
      <c r="A47" s="2302" t="s">
        <v>3263</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3">
      <c r="A48" s="2302" t="s">
        <v>3260</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3">
      <c r="A49" s="2302" t="s">
        <v>3258</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3">
      <c r="A50" s="2302" t="s">
        <v>3256</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3">
      <c r="A51" s="2302" t="s">
        <v>3255</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3">
      <c r="A52" s="2302" t="s">
        <v>3253</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3">
      <c r="A53" s="2302" t="s">
        <v>3252</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3">
      <c r="A54" s="2302" t="s">
        <v>3251</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3">
      <c r="A55" s="2302" t="s">
        <v>3241</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3">
      <c r="A56" s="2302" t="s">
        <v>2724</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3">
      <c r="A57" s="2302" t="s">
        <v>2725</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3">
      <c r="A58" s="2302" t="s">
        <v>2726</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3">
      <c r="A59" s="2302" t="s">
        <v>2727</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5" thickBot="1">
      <c r="A60" s="2311" t="s">
        <v>2713</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5" thickTop="1"/>
    <row r="62" spans="1:44">
      <c r="A62" s="248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737" t="s">
        <v>446</v>
      </c>
      <c r="C1" s="4737"/>
      <c r="D1" s="4737"/>
      <c r="E1" s="4737"/>
      <c r="F1" s="4737"/>
      <c r="G1" s="4733" t="s">
        <v>447</v>
      </c>
      <c r="H1" s="4733"/>
      <c r="I1" s="4733"/>
      <c r="J1" s="4733"/>
      <c r="K1" s="4733"/>
      <c r="L1" s="4733"/>
      <c r="N1" s="4733" t="s">
        <v>448</v>
      </c>
      <c r="O1" s="4733"/>
      <c r="P1" s="4733"/>
      <c r="Q1" s="4733"/>
      <c r="S1" s="4733" t="s">
        <v>449</v>
      </c>
      <c r="T1" s="4733"/>
      <c r="U1" s="4733"/>
      <c r="V1" s="4733"/>
      <c r="X1" s="4732" t="s">
        <v>450</v>
      </c>
      <c r="Y1" s="4733"/>
      <c r="Z1" s="4733"/>
      <c r="AA1" s="4733"/>
      <c r="AB1" s="4733"/>
      <c r="AD1" s="4732" t="s">
        <v>451</v>
      </c>
      <c r="AE1" s="4733"/>
      <c r="AF1" s="4733"/>
      <c r="AG1" s="4733"/>
      <c r="AH1" s="4733"/>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35">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35"/>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35"/>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42"/>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738">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35"/>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35"/>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42"/>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738">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35"/>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35"/>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36"/>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34">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35"/>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35"/>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36"/>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34">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35"/>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35"/>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36"/>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39">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40"/>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40"/>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41"/>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34">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35"/>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35"/>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736"/>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34">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35">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35">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36">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34">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35">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35">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36">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34">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35">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35">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36">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34">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35">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35">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36">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34">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35">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35">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36">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34">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35">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35">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36">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34">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35">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35">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36">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34">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35">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35">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36">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34">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35">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35">
        <v>2003</v>
      </c>
      <c r="H83" s="2968">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736">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34">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35">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35">
        <v>2002</v>
      </c>
      <c r="H87" s="2968">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736">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2" customWidth="1"/>
    <col min="2" max="2" width="18.6328125" style="2202" customWidth="1"/>
    <col min="3" max="6" width="10.26953125" style="2202" customWidth="1"/>
    <col min="7" max="7" width="10.453125" style="2202" bestFit="1" customWidth="1"/>
    <col min="8" max="8" width="8.90625" style="2201"/>
    <col min="9" max="9" width="13.36328125" style="2201" customWidth="1"/>
    <col min="10" max="13" width="13.36328125" style="2202" customWidth="1"/>
    <col min="14" max="14" width="18.26953125" style="2202" customWidth="1"/>
    <col min="15" max="17" width="15.08984375" style="2202" customWidth="1"/>
    <col min="18" max="20" width="11.453125" style="2202" customWidth="1"/>
    <col min="21" max="16384" width="8.90625" style="2202"/>
  </cols>
  <sheetData>
    <row r="1" spans="1:20" ht="12.5" thickBot="1">
      <c r="A1" s="4745" t="s">
        <v>2728</v>
      </c>
      <c r="B1" s="4745"/>
      <c r="C1" s="4745"/>
      <c r="D1" s="4745"/>
      <c r="E1" s="4745"/>
      <c r="F1" s="4745"/>
      <c r="G1" s="4746"/>
      <c r="I1" s="2327" t="s">
        <v>2729</v>
      </c>
      <c r="J1" s="2328" t="s">
        <v>2730</v>
      </c>
      <c r="K1" s="2328" t="s">
        <v>2731</v>
      </c>
      <c r="L1" s="2328" t="s">
        <v>2732</v>
      </c>
      <c r="M1" s="2328" t="s">
        <v>2733</v>
      </c>
      <c r="N1" s="2328" t="s">
        <v>2734</v>
      </c>
      <c r="O1" s="2328" t="s">
        <v>2735</v>
      </c>
      <c r="P1" s="2328" t="s">
        <v>2736</v>
      </c>
      <c r="Q1" s="2328" t="s">
        <v>2737</v>
      </c>
      <c r="R1" s="2328" t="s">
        <v>2738</v>
      </c>
      <c r="S1" s="2328" t="s">
        <v>2739</v>
      </c>
      <c r="T1" s="2329" t="s">
        <v>2740</v>
      </c>
    </row>
    <row r="2" spans="1:20" ht="12.5" thickBot="1">
      <c r="A2" s="2330" t="s">
        <v>2741</v>
      </c>
      <c r="B2" s="2330"/>
      <c r="C2" s="2330"/>
      <c r="D2" s="2330"/>
      <c r="E2" s="2330"/>
      <c r="F2" s="2330"/>
      <c r="G2" s="2331" t="s">
        <v>2742</v>
      </c>
      <c r="I2" s="2332" t="s">
        <v>2743</v>
      </c>
      <c r="J2" s="2332" t="s">
        <v>2744</v>
      </c>
      <c r="K2" s="2332" t="s">
        <v>2745</v>
      </c>
      <c r="L2" s="2332" t="s">
        <v>2746</v>
      </c>
      <c r="M2" s="2332" t="s">
        <v>2747</v>
      </c>
      <c r="N2" s="2332" t="s">
        <v>2748</v>
      </c>
      <c r="O2" s="2332" t="s">
        <v>2749</v>
      </c>
      <c r="P2" s="2332" t="s">
        <v>2750</v>
      </c>
      <c r="Q2" s="2332" t="s">
        <v>2751</v>
      </c>
      <c r="R2" s="2332" t="s">
        <v>2752</v>
      </c>
      <c r="S2" s="2332" t="s">
        <v>2753</v>
      </c>
      <c r="T2" s="2332" t="s">
        <v>2754</v>
      </c>
    </row>
    <row r="3" spans="1:20" s="2338" customFormat="1">
      <c r="A3" s="4743" t="s">
        <v>2755</v>
      </c>
      <c r="B3" s="2333"/>
      <c r="C3" s="2334" t="s">
        <v>2700</v>
      </c>
      <c r="D3" s="2334" t="s">
        <v>2756</v>
      </c>
      <c r="E3" s="2334" t="s">
        <v>2702</v>
      </c>
      <c r="F3" s="2334" t="s">
        <v>2757</v>
      </c>
      <c r="G3" s="2334" t="s">
        <v>2520</v>
      </c>
      <c r="H3" s="2335"/>
      <c r="I3" s="2336" t="s">
        <v>2758</v>
      </c>
      <c r="J3" s="2337" t="s">
        <v>126</v>
      </c>
      <c r="K3" s="2337" t="s">
        <v>127</v>
      </c>
      <c r="L3" s="2336" t="s">
        <v>128</v>
      </c>
      <c r="M3" s="2336" t="s">
        <v>129</v>
      </c>
      <c r="N3" s="2336" t="s">
        <v>130</v>
      </c>
      <c r="O3" s="2336" t="s">
        <v>131</v>
      </c>
      <c r="P3" s="2336" t="s">
        <v>132</v>
      </c>
      <c r="Q3" s="2336" t="s">
        <v>133</v>
      </c>
      <c r="R3" s="2336" t="s">
        <v>134</v>
      </c>
      <c r="S3" s="2336" t="s">
        <v>2759</v>
      </c>
      <c r="T3" s="2336" t="s">
        <v>2760</v>
      </c>
    </row>
    <row r="4" spans="1:20" s="2338" customFormat="1" ht="12.5" thickBot="1">
      <c r="A4" s="4744"/>
      <c r="B4" s="2339" t="s">
        <v>2761</v>
      </c>
      <c r="C4" s="2339" t="s">
        <v>2762</v>
      </c>
      <c r="D4" s="2339" t="s">
        <v>2762</v>
      </c>
      <c r="E4" s="2339" t="s">
        <v>2762</v>
      </c>
      <c r="F4" s="2340" t="s">
        <v>2762</v>
      </c>
      <c r="G4" s="2340" t="s">
        <v>2762</v>
      </c>
      <c r="H4" s="2335"/>
      <c r="I4" s="2337" t="s">
        <v>135</v>
      </c>
      <c r="J4" s="2337" t="s">
        <v>109</v>
      </c>
      <c r="K4" s="2337" t="s">
        <v>136</v>
      </c>
      <c r="L4" s="2336" t="s">
        <v>137</v>
      </c>
      <c r="M4" s="2336" t="s">
        <v>138</v>
      </c>
      <c r="N4" s="2336" t="s">
        <v>139</v>
      </c>
      <c r="O4" s="2336" t="s">
        <v>140</v>
      </c>
      <c r="P4" s="2336" t="s">
        <v>141</v>
      </c>
      <c r="Q4" s="2336" t="s">
        <v>2763</v>
      </c>
      <c r="R4" s="2336" t="s">
        <v>2764</v>
      </c>
      <c r="S4" s="2336" t="s">
        <v>2765</v>
      </c>
      <c r="T4" s="2336" t="s">
        <v>2766</v>
      </c>
    </row>
    <row r="5" spans="1:20">
      <c r="A5" s="2341" t="s">
        <v>2729</v>
      </c>
      <c r="B5" s="2332" t="s">
        <v>2743</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2767</v>
      </c>
      <c r="R5" s="2336" t="s">
        <v>2768</v>
      </c>
      <c r="S5" s="2336" t="s">
        <v>151</v>
      </c>
      <c r="T5" s="2336" t="s">
        <v>2769</v>
      </c>
    </row>
    <row r="6" spans="1:20" ht="12.5" thickBot="1">
      <c r="A6" s="2336" t="s">
        <v>142</v>
      </c>
      <c r="B6" s="2336" t="s">
        <v>2758</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2770</v>
      </c>
      <c r="Q6" s="2336" t="s">
        <v>2771</v>
      </c>
      <c r="R6" s="2336" t="s">
        <v>159</v>
      </c>
      <c r="S6" s="2336" t="s">
        <v>2772</v>
      </c>
      <c r="T6" s="2336" t="s">
        <v>2773</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2774</v>
      </c>
      <c r="Q7" s="2336" t="s">
        <v>2775</v>
      </c>
      <c r="R7" s="2336" t="s">
        <v>2776</v>
      </c>
      <c r="S7" s="2336" t="s">
        <v>2777</v>
      </c>
      <c r="T7" s="2336" t="s">
        <v>2778</v>
      </c>
    </row>
    <row r="8" spans="1:20" ht="12.5"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2779</v>
      </c>
      <c r="Q8" s="2336" t="s">
        <v>172</v>
      </c>
      <c r="R8" s="2336" t="s">
        <v>2780</v>
      </c>
      <c r="S8" s="2336" t="s">
        <v>2781</v>
      </c>
      <c r="T8" s="2343" t="s">
        <v>2782</v>
      </c>
    </row>
    <row r="9" spans="1:20" ht="12.5"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2783</v>
      </c>
      <c r="Q9" s="2336" t="s">
        <v>180</v>
      </c>
      <c r="R9" s="2336" t="s">
        <v>181</v>
      </c>
      <c r="S9" s="2336" t="s">
        <v>198</v>
      </c>
    </row>
    <row r="10" spans="1:20">
      <c r="A10" s="2341" t="s">
        <v>182</v>
      </c>
      <c r="B10" s="2332" t="s">
        <v>2744</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2784</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2785</v>
      </c>
      <c r="P11" s="2336" t="s">
        <v>189</v>
      </c>
      <c r="Q11" s="2336" t="s">
        <v>197</v>
      </c>
      <c r="R11" s="2336" t="s">
        <v>2786</v>
      </c>
      <c r="S11" s="2336" t="s">
        <v>2787</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2788</v>
      </c>
      <c r="P12" s="2336" t="s">
        <v>2789</v>
      </c>
      <c r="Q12" s="2336" t="s">
        <v>2790</v>
      </c>
      <c r="R12" s="2336" t="s">
        <v>2791</v>
      </c>
      <c r="S12" s="2336" t="s">
        <v>2792</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2793</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2794</v>
      </c>
      <c r="K14" s="2337" t="s">
        <v>213</v>
      </c>
      <c r="L14" s="2336" t="s">
        <v>214</v>
      </c>
      <c r="M14" s="2336" t="s">
        <v>215</v>
      </c>
      <c r="N14" s="2336" t="s">
        <v>216</v>
      </c>
      <c r="O14" s="2336" t="s">
        <v>238</v>
      </c>
      <c r="P14" s="2336" t="s">
        <v>211</v>
      </c>
      <c r="Q14" s="2336" t="s">
        <v>2795</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2796</v>
      </c>
      <c r="P15" s="2336" t="s">
        <v>2797</v>
      </c>
      <c r="Q15" s="2336" t="s">
        <v>240</v>
      </c>
      <c r="R15" s="2336" t="s">
        <v>2798</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2799</v>
      </c>
      <c r="P16" s="2336" t="s">
        <v>225</v>
      </c>
      <c r="Q16" s="2336" t="s">
        <v>248</v>
      </c>
      <c r="R16" s="2336" t="s">
        <v>205</v>
      </c>
      <c r="S16" s="2336" t="s">
        <v>2800</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2801</v>
      </c>
      <c r="P17" s="2336" t="s">
        <v>2802</v>
      </c>
      <c r="Q17" s="2336" t="s">
        <v>254</v>
      </c>
      <c r="R17" s="2336" t="s">
        <v>2803</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2804</v>
      </c>
      <c r="P18" s="2336" t="s">
        <v>239</v>
      </c>
      <c r="Q18" s="2336" t="s">
        <v>2805</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2806</v>
      </c>
      <c r="P19" s="2336" t="s">
        <v>247</v>
      </c>
      <c r="Q19" s="2336" t="s">
        <v>2807</v>
      </c>
      <c r="R19" s="2336" t="s">
        <v>263</v>
      </c>
      <c r="S19" s="2336" t="s">
        <v>2808</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2809</v>
      </c>
      <c r="P20" s="2336" t="s">
        <v>2810</v>
      </c>
      <c r="Q20" s="2336" t="s">
        <v>288</v>
      </c>
      <c r="R20" s="2336" t="s">
        <v>2811</v>
      </c>
      <c r="S20" s="2336" t="s">
        <v>275</v>
      </c>
    </row>
    <row r="21" spans="1:19" ht="14.25" customHeight="1" thickBot="1">
      <c r="A21" s="2336" t="s">
        <v>182</v>
      </c>
      <c r="B21" s="2337" t="s">
        <v>206</v>
      </c>
      <c r="C21" s="2994">
        <v>32370</v>
      </c>
      <c r="D21" s="2994">
        <v>26730</v>
      </c>
      <c r="E21" s="2994">
        <v>26640</v>
      </c>
      <c r="F21" s="2994"/>
      <c r="G21" s="2994">
        <v>19440</v>
      </c>
      <c r="J21" s="2343" t="s">
        <v>2812</v>
      </c>
      <c r="K21" s="2337" t="s">
        <v>265</v>
      </c>
      <c r="L21" s="2336" t="s">
        <v>266</v>
      </c>
      <c r="M21" s="2336" t="s">
        <v>267</v>
      </c>
      <c r="N21" s="2336" t="s">
        <v>268</v>
      </c>
      <c r="O21" s="2336" t="s">
        <v>262</v>
      </c>
      <c r="P21" s="2336" t="s">
        <v>281</v>
      </c>
      <c r="Q21" s="2336" t="s">
        <v>291</v>
      </c>
      <c r="R21" s="2336" t="s">
        <v>2813</v>
      </c>
      <c r="S21" s="2343" t="s">
        <v>2814</v>
      </c>
    </row>
    <row r="22" spans="1:19" ht="14.25" customHeight="1">
      <c r="A22" s="2336" t="s">
        <v>182</v>
      </c>
      <c r="B22" s="2337" t="s">
        <v>2794</v>
      </c>
      <c r="C22" s="2994">
        <v>29830</v>
      </c>
      <c r="D22" s="2994">
        <v>27600</v>
      </c>
      <c r="E22" s="2994">
        <v>28150</v>
      </c>
      <c r="F22" s="2994"/>
      <c r="G22" s="2994">
        <v>20080</v>
      </c>
      <c r="K22" s="2337" t="s">
        <v>2815</v>
      </c>
      <c r="L22" s="2336" t="s">
        <v>270</v>
      </c>
      <c r="M22" s="2336" t="s">
        <v>271</v>
      </c>
      <c r="N22" s="2336" t="s">
        <v>272</v>
      </c>
      <c r="O22" s="2336" t="s">
        <v>2816</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2817</v>
      </c>
      <c r="L23" s="2336" t="s">
        <v>276</v>
      </c>
      <c r="M23" s="2336" t="s">
        <v>277</v>
      </c>
      <c r="N23" s="2336" t="s">
        <v>2818</v>
      </c>
      <c r="O23" s="2336" t="s">
        <v>2819</v>
      </c>
      <c r="P23" s="2336" t="s">
        <v>287</v>
      </c>
      <c r="Q23" s="2336" t="s">
        <v>296</v>
      </c>
      <c r="R23" s="2336" t="s">
        <v>2820</v>
      </c>
    </row>
    <row r="24" spans="1:19" ht="14.25" customHeight="1">
      <c r="A24" s="2336" t="s">
        <v>182</v>
      </c>
      <c r="B24" s="2337" t="s">
        <v>228</v>
      </c>
      <c r="C24" s="2994">
        <v>27930</v>
      </c>
      <c r="D24" s="2994">
        <v>32260</v>
      </c>
      <c r="E24" s="2994">
        <v>32120</v>
      </c>
      <c r="F24" s="2994"/>
      <c r="G24" s="2994">
        <v>23470</v>
      </c>
      <c r="K24" s="2337" t="s">
        <v>2821</v>
      </c>
      <c r="L24" s="2336" t="s">
        <v>279</v>
      </c>
      <c r="M24" s="2336" t="s">
        <v>280</v>
      </c>
      <c r="N24" s="2336" t="s">
        <v>2822</v>
      </c>
      <c r="O24" s="2336" t="s">
        <v>283</v>
      </c>
      <c r="P24" s="2336" t="s">
        <v>2823</v>
      </c>
      <c r="Q24" s="2345" t="s">
        <v>2824</v>
      </c>
      <c r="R24" s="2336" t="s">
        <v>2825</v>
      </c>
    </row>
    <row r="25" spans="1:19" ht="14.25" customHeight="1">
      <c r="A25" s="2336" t="s">
        <v>182</v>
      </c>
      <c r="B25" s="2337" t="s">
        <v>233</v>
      </c>
      <c r="C25" s="2994">
        <v>32230</v>
      </c>
      <c r="D25" s="2994">
        <v>29640</v>
      </c>
      <c r="E25" s="2994">
        <v>29510</v>
      </c>
      <c r="F25" s="2994"/>
      <c r="G25" s="2994">
        <v>21560</v>
      </c>
      <c r="K25" s="2337" t="s">
        <v>2826</v>
      </c>
      <c r="L25" s="2336" t="s">
        <v>2827</v>
      </c>
      <c r="M25" s="2336" t="s">
        <v>282</v>
      </c>
      <c r="N25" s="2336" t="s">
        <v>290</v>
      </c>
      <c r="O25" s="2336" t="s">
        <v>286</v>
      </c>
      <c r="P25" s="2336" t="s">
        <v>273</v>
      </c>
      <c r="Q25" s="2345" t="s">
        <v>269</v>
      </c>
      <c r="R25" s="2336" t="s">
        <v>2828</v>
      </c>
    </row>
    <row r="26" spans="1:19" ht="14.25" customHeight="1" thickBot="1">
      <c r="A26" s="2336" t="s">
        <v>182</v>
      </c>
      <c r="B26" s="2337" t="s">
        <v>242</v>
      </c>
      <c r="C26" s="2994">
        <v>31690</v>
      </c>
      <c r="D26" s="2994">
        <v>27650</v>
      </c>
      <c r="E26" s="2994">
        <v>28200</v>
      </c>
      <c r="F26" s="2994"/>
      <c r="G26" s="2994">
        <v>20110</v>
      </c>
      <c r="K26" s="2342" t="s">
        <v>2829</v>
      </c>
      <c r="L26" s="2336" t="s">
        <v>2830</v>
      </c>
      <c r="M26" s="2336" t="s">
        <v>285</v>
      </c>
      <c r="N26" s="2336" t="s">
        <v>292</v>
      </c>
      <c r="O26" s="2336" t="s">
        <v>2831</v>
      </c>
      <c r="P26" s="2336" t="s">
        <v>2832</v>
      </c>
      <c r="Q26" s="2345" t="s">
        <v>274</v>
      </c>
      <c r="R26" s="2336" t="s">
        <v>2833</v>
      </c>
    </row>
    <row r="27" spans="1:19" ht="14.25" customHeight="1">
      <c r="A27" s="2336" t="s">
        <v>182</v>
      </c>
      <c r="B27" s="2337" t="s">
        <v>249</v>
      </c>
      <c r="C27" s="2994">
        <v>29610</v>
      </c>
      <c r="D27" s="2994">
        <v>27770</v>
      </c>
      <c r="E27" s="2994">
        <v>28300</v>
      </c>
      <c r="F27" s="2994"/>
      <c r="G27" s="2994">
        <v>20210</v>
      </c>
      <c r="L27" s="2336" t="s">
        <v>2834</v>
      </c>
      <c r="M27" s="2336" t="s">
        <v>289</v>
      </c>
      <c r="N27" s="2336" t="s">
        <v>295</v>
      </c>
      <c r="O27" s="2336" t="s">
        <v>2835</v>
      </c>
      <c r="P27" s="2336" t="s">
        <v>2836</v>
      </c>
      <c r="Q27" s="2336" t="s">
        <v>2837</v>
      </c>
      <c r="R27" s="2336" t="s">
        <v>2838</v>
      </c>
    </row>
    <row r="28" spans="1:19" ht="14.25" customHeight="1">
      <c r="A28" s="2336" t="s">
        <v>182</v>
      </c>
      <c r="B28" s="2337" t="s">
        <v>257</v>
      </c>
      <c r="C28" s="2994"/>
      <c r="D28" s="2994">
        <v>31520</v>
      </c>
      <c r="E28" s="2994">
        <v>31410</v>
      </c>
      <c r="F28" s="2994"/>
      <c r="G28" s="2994">
        <v>22940</v>
      </c>
      <c r="L28" s="2336" t="s">
        <v>2839</v>
      </c>
      <c r="M28" s="2336" t="s">
        <v>2840</v>
      </c>
      <c r="N28" s="2336" t="s">
        <v>2841</v>
      </c>
      <c r="O28" s="2336" t="s">
        <v>2842</v>
      </c>
      <c r="P28" s="2336" t="s">
        <v>2843</v>
      </c>
      <c r="Q28" s="2336" t="s">
        <v>2844</v>
      </c>
      <c r="R28" s="2336" t="s">
        <v>2845</v>
      </c>
    </row>
    <row r="29" spans="1:19" ht="14.25" customHeight="1" thickBot="1">
      <c r="A29" s="2344" t="s">
        <v>182</v>
      </c>
      <c r="B29" s="2346" t="s">
        <v>2812</v>
      </c>
      <c r="C29" s="2996"/>
      <c r="D29" s="2996">
        <v>29460</v>
      </c>
      <c r="E29" s="2996">
        <v>28640</v>
      </c>
      <c r="F29" s="2996"/>
      <c r="G29" s="2996">
        <v>21430</v>
      </c>
      <c r="L29" s="2336" t="s">
        <v>2846</v>
      </c>
      <c r="M29" s="2336" t="s">
        <v>2847</v>
      </c>
      <c r="N29" s="2336" t="s">
        <v>2848</v>
      </c>
      <c r="O29" s="2336" t="s">
        <v>2849</v>
      </c>
      <c r="P29" s="2336" t="s">
        <v>2850</v>
      </c>
      <c r="Q29" s="2336" t="s">
        <v>2851</v>
      </c>
      <c r="R29" s="2336" t="s">
        <v>278</v>
      </c>
    </row>
    <row r="30" spans="1:19" ht="14.25" customHeight="1">
      <c r="A30" s="2341" t="s">
        <v>294</v>
      </c>
      <c r="B30" s="2332" t="s">
        <v>2745</v>
      </c>
      <c r="C30" s="2993">
        <v>26890</v>
      </c>
      <c r="D30" s="2993">
        <v>26770</v>
      </c>
      <c r="E30" s="2993">
        <v>25700</v>
      </c>
      <c r="F30" s="2993">
        <v>8180</v>
      </c>
      <c r="G30" s="2997">
        <v>18740</v>
      </c>
      <c r="L30" s="2336" t="s">
        <v>2852</v>
      </c>
      <c r="M30" s="2336" t="s">
        <v>2853</v>
      </c>
      <c r="N30" s="2336" t="s">
        <v>2854</v>
      </c>
      <c r="O30" s="2336" t="s">
        <v>2855</v>
      </c>
      <c r="P30" s="2336" t="s">
        <v>2856</v>
      </c>
      <c r="Q30" s="2336" t="s">
        <v>2857</v>
      </c>
      <c r="R30" s="2336" t="s">
        <v>2858</v>
      </c>
    </row>
    <row r="31" spans="1:19" ht="14.25" customHeight="1">
      <c r="A31" s="2336" t="s">
        <v>294</v>
      </c>
      <c r="B31" s="2337" t="s">
        <v>127</v>
      </c>
      <c r="C31" s="2994">
        <v>24550</v>
      </c>
      <c r="D31" s="2994">
        <v>23990</v>
      </c>
      <c r="E31" s="2994">
        <v>22930</v>
      </c>
      <c r="F31" s="2994">
        <v>7470</v>
      </c>
      <c r="G31" s="2998">
        <v>16790</v>
      </c>
      <c r="L31" s="2336" t="s">
        <v>2859</v>
      </c>
      <c r="M31" s="2336" t="s">
        <v>2860</v>
      </c>
      <c r="N31" s="2336" t="s">
        <v>2861</v>
      </c>
      <c r="O31" s="2336" t="s">
        <v>2862</v>
      </c>
      <c r="P31" s="2336" t="s">
        <v>2863</v>
      </c>
      <c r="Q31" s="2336" t="s">
        <v>2864</v>
      </c>
      <c r="R31" s="2336" t="s">
        <v>2865</v>
      </c>
    </row>
    <row r="32" spans="1:19" ht="14.25" customHeight="1" thickBot="1">
      <c r="A32" s="2336" t="s">
        <v>294</v>
      </c>
      <c r="B32" s="2337" t="s">
        <v>136</v>
      </c>
      <c r="C32" s="2994">
        <v>27210</v>
      </c>
      <c r="D32" s="2994">
        <v>23240</v>
      </c>
      <c r="E32" s="2994">
        <v>23260</v>
      </c>
      <c r="F32" s="2994">
        <v>7130</v>
      </c>
      <c r="G32" s="2998">
        <v>16270</v>
      </c>
      <c r="L32" s="2336" t="s">
        <v>2866</v>
      </c>
      <c r="M32" s="2336" t="s">
        <v>2867</v>
      </c>
      <c r="N32" s="2336" t="s">
        <v>298</v>
      </c>
      <c r="O32" s="2336" t="s">
        <v>2868</v>
      </c>
      <c r="P32" s="2336" t="s">
        <v>297</v>
      </c>
      <c r="Q32" s="2336" t="s">
        <v>2869</v>
      </c>
      <c r="R32" s="2343" t="s">
        <v>2870</v>
      </c>
    </row>
    <row r="33" spans="1:17" ht="14.25" customHeight="1" thickBot="1">
      <c r="A33" s="2336" t="s">
        <v>294</v>
      </c>
      <c r="B33" s="2337" t="s">
        <v>145</v>
      </c>
      <c r="C33" s="2994">
        <v>27300</v>
      </c>
      <c r="D33" s="2994">
        <v>22980</v>
      </c>
      <c r="E33" s="2994">
        <v>24260</v>
      </c>
      <c r="F33" s="2994">
        <v>5860</v>
      </c>
      <c r="G33" s="2998">
        <v>16090</v>
      </c>
      <c r="L33" s="2343" t="s">
        <v>2871</v>
      </c>
      <c r="M33" s="2336" t="s">
        <v>2872</v>
      </c>
      <c r="N33" s="2336" t="s">
        <v>299</v>
      </c>
      <c r="O33" s="2336" t="s">
        <v>2873</v>
      </c>
      <c r="P33" s="2336" t="s">
        <v>2874</v>
      </c>
      <c r="Q33" s="2336" t="s">
        <v>2875</v>
      </c>
    </row>
    <row r="34" spans="1:17" ht="14.25" customHeight="1">
      <c r="A34" s="2336" t="s">
        <v>294</v>
      </c>
      <c r="B34" s="2337" t="s">
        <v>154</v>
      </c>
      <c r="C34" s="2994">
        <v>23090</v>
      </c>
      <c r="D34" s="2994">
        <v>23390</v>
      </c>
      <c r="E34" s="2994">
        <v>23510</v>
      </c>
      <c r="F34" s="2994">
        <v>6700</v>
      </c>
      <c r="G34" s="2998">
        <v>16370</v>
      </c>
      <c r="M34" s="2336" t="s">
        <v>2876</v>
      </c>
      <c r="N34" s="2336" t="s">
        <v>300</v>
      </c>
      <c r="O34" s="2336" t="s">
        <v>2877</v>
      </c>
      <c r="P34" s="2336" t="s">
        <v>2878</v>
      </c>
      <c r="Q34" s="2336" t="s">
        <v>2879</v>
      </c>
    </row>
    <row r="35" spans="1:17" ht="14.25" customHeight="1">
      <c r="A35" s="2336" t="s">
        <v>294</v>
      </c>
      <c r="B35" s="2337" t="s">
        <v>161</v>
      </c>
      <c r="C35" s="2994">
        <v>27270</v>
      </c>
      <c r="D35" s="2994">
        <v>24270</v>
      </c>
      <c r="E35" s="2994">
        <v>24950</v>
      </c>
      <c r="F35" s="2994">
        <v>6600</v>
      </c>
      <c r="G35" s="2998">
        <v>16990</v>
      </c>
      <c r="M35" s="2336" t="s">
        <v>2880</v>
      </c>
      <c r="N35" s="2336" t="s">
        <v>2881</v>
      </c>
      <c r="O35" s="2336" t="s">
        <v>2882</v>
      </c>
      <c r="P35" s="2336" t="s">
        <v>2883</v>
      </c>
      <c r="Q35" s="2336" t="s">
        <v>2884</v>
      </c>
    </row>
    <row r="36" spans="1:17" ht="14.25" customHeight="1">
      <c r="A36" s="2336" t="s">
        <v>294</v>
      </c>
      <c r="B36" s="2337" t="s">
        <v>167</v>
      </c>
      <c r="C36" s="2994">
        <v>23490</v>
      </c>
      <c r="D36" s="2994">
        <v>23020</v>
      </c>
      <c r="E36" s="2994">
        <v>25230</v>
      </c>
      <c r="F36" s="2994">
        <v>6780</v>
      </c>
      <c r="G36" s="2998">
        <v>16120</v>
      </c>
      <c r="M36" s="2336" t="s">
        <v>2885</v>
      </c>
      <c r="N36" s="2336" t="s">
        <v>2886</v>
      </c>
      <c r="O36" s="2336" t="s">
        <v>2887</v>
      </c>
      <c r="P36" s="2336" t="s">
        <v>2888</v>
      </c>
      <c r="Q36" s="2336" t="s">
        <v>2889</v>
      </c>
    </row>
    <row r="37" spans="1:17" ht="14.25" customHeight="1">
      <c r="A37" s="2336" t="s">
        <v>294</v>
      </c>
      <c r="B37" s="2337" t="s">
        <v>174</v>
      </c>
      <c r="C37" s="2994">
        <v>24380</v>
      </c>
      <c r="D37" s="2994">
        <v>22240</v>
      </c>
      <c r="E37" s="2994">
        <v>25980</v>
      </c>
      <c r="F37" s="2994">
        <v>8160</v>
      </c>
      <c r="G37" s="2998">
        <v>15570</v>
      </c>
      <c r="M37" s="2336" t="s">
        <v>2890</v>
      </c>
      <c r="N37" s="2336" t="s">
        <v>2891</v>
      </c>
      <c r="O37" s="2336" t="s">
        <v>2892</v>
      </c>
      <c r="P37" s="2336" t="s">
        <v>2893</v>
      </c>
      <c r="Q37" s="2336" t="s">
        <v>2894</v>
      </c>
    </row>
    <row r="38" spans="1:17" ht="14.25" customHeight="1">
      <c r="A38" s="2336" t="s">
        <v>294</v>
      </c>
      <c r="B38" s="2337" t="s">
        <v>184</v>
      </c>
      <c r="C38" s="2994">
        <v>23120</v>
      </c>
      <c r="D38" s="2994">
        <v>24630</v>
      </c>
      <c r="E38" s="2994">
        <v>25030</v>
      </c>
      <c r="F38" s="2994">
        <v>7710</v>
      </c>
      <c r="G38" s="2998">
        <v>17240</v>
      </c>
      <c r="M38" s="2336" t="s">
        <v>2895</v>
      </c>
      <c r="N38" s="2336" t="s">
        <v>2896</v>
      </c>
      <c r="O38" s="2336" t="s">
        <v>2897</v>
      </c>
      <c r="P38" s="2336" t="s">
        <v>2898</v>
      </c>
      <c r="Q38" s="2336" t="s">
        <v>2899</v>
      </c>
    </row>
    <row r="39" spans="1:17" ht="14.25" customHeight="1">
      <c r="A39" s="2336" t="s">
        <v>294</v>
      </c>
      <c r="B39" s="2337" t="s">
        <v>193</v>
      </c>
      <c r="C39" s="2994">
        <v>22330</v>
      </c>
      <c r="D39" s="2994">
        <v>21140</v>
      </c>
      <c r="E39" s="2994">
        <v>23970</v>
      </c>
      <c r="F39" s="2994">
        <v>7940</v>
      </c>
      <c r="G39" s="2998">
        <v>14790</v>
      </c>
      <c r="M39" s="2336" t="s">
        <v>2900</v>
      </c>
      <c r="N39" s="2336" t="s">
        <v>2901</v>
      </c>
      <c r="O39" s="2336" t="s">
        <v>2902</v>
      </c>
      <c r="P39" s="2336" t="s">
        <v>2903</v>
      </c>
      <c r="Q39" s="2336" t="s">
        <v>2904</v>
      </c>
    </row>
    <row r="40" spans="1:17" ht="14.25" customHeight="1">
      <c r="A40" s="2336" t="s">
        <v>294</v>
      </c>
      <c r="B40" s="2337" t="s">
        <v>200</v>
      </c>
      <c r="C40" s="2994">
        <v>24740</v>
      </c>
      <c r="D40" s="2994">
        <v>24690</v>
      </c>
      <c r="E40" s="2994">
        <v>22610</v>
      </c>
      <c r="F40" s="2994"/>
      <c r="G40" s="2998">
        <v>17280</v>
      </c>
      <c r="M40" s="2336" t="s">
        <v>2905</v>
      </c>
      <c r="N40" s="2336" t="s">
        <v>2906</v>
      </c>
      <c r="O40" s="2336" t="s">
        <v>2907</v>
      </c>
      <c r="P40" s="2336" t="s">
        <v>2908</v>
      </c>
      <c r="Q40" s="2336" t="s">
        <v>2909</v>
      </c>
    </row>
    <row r="41" spans="1:17" ht="14.25" customHeight="1" thickBot="1">
      <c r="A41" s="2336" t="s">
        <v>294</v>
      </c>
      <c r="B41" s="2337" t="s">
        <v>207</v>
      </c>
      <c r="C41" s="2994">
        <v>21220</v>
      </c>
      <c r="D41" s="2994">
        <v>21120</v>
      </c>
      <c r="E41" s="2994">
        <v>22590</v>
      </c>
      <c r="F41" s="2994"/>
      <c r="G41" s="2998">
        <v>14780</v>
      </c>
      <c r="M41" s="2343" t="s">
        <v>2910</v>
      </c>
      <c r="N41" s="2336" t="s">
        <v>2911</v>
      </c>
      <c r="O41" s="2336" t="s">
        <v>2912</v>
      </c>
      <c r="P41" s="2336" t="s">
        <v>2913</v>
      </c>
      <c r="Q41" s="2336" t="s">
        <v>2914</v>
      </c>
    </row>
    <row r="42" spans="1:17" ht="14.25" customHeight="1">
      <c r="A42" s="2336" t="s">
        <v>294</v>
      </c>
      <c r="B42" s="2337" t="s">
        <v>213</v>
      </c>
      <c r="C42" s="2994">
        <v>24800</v>
      </c>
      <c r="D42" s="2994">
        <v>22280</v>
      </c>
      <c r="E42" s="2994">
        <v>24350</v>
      </c>
      <c r="F42" s="2994"/>
      <c r="G42" s="2998">
        <v>15590</v>
      </c>
      <c r="N42" s="2336" t="s">
        <v>2915</v>
      </c>
      <c r="O42" s="2336" t="s">
        <v>2916</v>
      </c>
      <c r="P42" s="2336" t="s">
        <v>2917</v>
      </c>
      <c r="Q42" s="2336" t="s">
        <v>2918</v>
      </c>
    </row>
    <row r="43" spans="1:17" ht="14.25" customHeight="1">
      <c r="A43" s="2336" t="s">
        <v>2919</v>
      </c>
      <c r="B43" s="2337" t="s">
        <v>221</v>
      </c>
      <c r="C43" s="2994">
        <v>21210</v>
      </c>
      <c r="D43" s="2994">
        <v>21160</v>
      </c>
      <c r="E43" s="2994">
        <v>22650</v>
      </c>
      <c r="F43" s="2994"/>
      <c r="G43" s="2998">
        <v>14800</v>
      </c>
      <c r="N43" s="2336" t="s">
        <v>2920</v>
      </c>
      <c r="O43" s="2336" t="s">
        <v>2921</v>
      </c>
      <c r="P43" s="2336" t="s">
        <v>2922</v>
      </c>
      <c r="Q43" s="2336" t="s">
        <v>2923</v>
      </c>
    </row>
    <row r="44" spans="1:17" ht="14.25" customHeight="1" thickBot="1">
      <c r="A44" s="2336" t="s">
        <v>294</v>
      </c>
      <c r="B44" s="2337" t="s">
        <v>229</v>
      </c>
      <c r="C44" s="2994">
        <v>22370</v>
      </c>
      <c r="D44" s="2994">
        <v>23140</v>
      </c>
      <c r="E44" s="2994">
        <v>25090</v>
      </c>
      <c r="F44" s="2994"/>
      <c r="G44" s="2998">
        <v>16190</v>
      </c>
      <c r="N44" s="2336" t="s">
        <v>2924</v>
      </c>
      <c r="O44" s="2336" t="s">
        <v>2925</v>
      </c>
      <c r="P44" s="2343" t="s">
        <v>2926</v>
      </c>
      <c r="Q44" s="2336" t="s">
        <v>2927</v>
      </c>
    </row>
    <row r="45" spans="1:17" ht="14.25" customHeight="1" thickBot="1">
      <c r="A45" s="2336" t="s">
        <v>294</v>
      </c>
      <c r="B45" s="2337" t="s">
        <v>234</v>
      </c>
      <c r="C45" s="2994">
        <v>21240</v>
      </c>
      <c r="D45" s="2994">
        <v>27050</v>
      </c>
      <c r="E45" s="2994">
        <v>28000</v>
      </c>
      <c r="F45" s="2994"/>
      <c r="G45" s="2998">
        <v>18940</v>
      </c>
      <c r="N45" s="2336" t="s">
        <v>2928</v>
      </c>
      <c r="O45" s="2343" t="s">
        <v>2929</v>
      </c>
      <c r="Q45" s="2336" t="s">
        <v>2930</v>
      </c>
    </row>
    <row r="46" spans="1:17" ht="14.25" customHeight="1">
      <c r="A46" s="2336" t="s">
        <v>294</v>
      </c>
      <c r="B46" s="2337" t="s">
        <v>243</v>
      </c>
      <c r="C46" s="2994">
        <v>23240</v>
      </c>
      <c r="D46" s="2994">
        <v>23000</v>
      </c>
      <c r="E46" s="2994">
        <v>24980</v>
      </c>
      <c r="F46" s="2994"/>
      <c r="G46" s="2998">
        <v>16100</v>
      </c>
      <c r="N46" s="2336" t="s">
        <v>2931</v>
      </c>
      <c r="Q46" s="2336" t="s">
        <v>2932</v>
      </c>
    </row>
    <row r="47" spans="1:17" ht="14.25" customHeight="1">
      <c r="A47" s="2336" t="s">
        <v>294</v>
      </c>
      <c r="B47" s="2337" t="s">
        <v>250</v>
      </c>
      <c r="C47" s="2994">
        <v>27150</v>
      </c>
      <c r="D47" s="2994">
        <v>23310</v>
      </c>
      <c r="E47" s="2994">
        <v>25150</v>
      </c>
      <c r="F47" s="2994"/>
      <c r="G47" s="2998">
        <v>16310</v>
      </c>
      <c r="N47" s="2336" t="s">
        <v>2933</v>
      </c>
      <c r="Q47" s="2336" t="s">
        <v>2934</v>
      </c>
    </row>
    <row r="48" spans="1:17" ht="14.25" customHeight="1">
      <c r="A48" s="2336" t="s">
        <v>294</v>
      </c>
      <c r="B48" s="2337" t="s">
        <v>258</v>
      </c>
      <c r="C48" s="2994">
        <v>23100</v>
      </c>
      <c r="D48" s="2994">
        <v>21110</v>
      </c>
      <c r="E48" s="2994">
        <v>23080</v>
      </c>
      <c r="F48" s="2994"/>
      <c r="G48" s="2998">
        <v>14780</v>
      </c>
      <c r="N48" s="2336" t="s">
        <v>2935</v>
      </c>
      <c r="Q48" s="2336" t="s">
        <v>2936</v>
      </c>
    </row>
    <row r="49" spans="1:17" ht="14.25" customHeight="1">
      <c r="A49" s="2336" t="s">
        <v>294</v>
      </c>
      <c r="B49" s="2337" t="s">
        <v>265</v>
      </c>
      <c r="C49" s="2994">
        <v>23400</v>
      </c>
      <c r="D49" s="2994">
        <v>22920</v>
      </c>
      <c r="E49" s="2994">
        <v>24900</v>
      </c>
      <c r="F49" s="2994"/>
      <c r="G49" s="2998">
        <v>16040</v>
      </c>
      <c r="N49" s="2336" t="s">
        <v>2937</v>
      </c>
      <c r="Q49" s="2336" t="s">
        <v>2938</v>
      </c>
    </row>
    <row r="50" spans="1:17" ht="14.25" customHeight="1">
      <c r="A50" s="2336" t="s">
        <v>294</v>
      </c>
      <c r="B50" s="2337" t="s">
        <v>2815</v>
      </c>
      <c r="C50" s="2994">
        <v>21200</v>
      </c>
      <c r="D50" s="2994">
        <v>26540</v>
      </c>
      <c r="E50" s="2994">
        <v>23200</v>
      </c>
      <c r="F50" s="2994"/>
      <c r="G50" s="2998">
        <v>18580</v>
      </c>
      <c r="N50" s="2336" t="s">
        <v>2939</v>
      </c>
      <c r="Q50" s="2337" t="s">
        <v>2940</v>
      </c>
    </row>
    <row r="51" spans="1:17" ht="14.25" customHeight="1" thickBot="1">
      <c r="A51" s="2336" t="s">
        <v>294</v>
      </c>
      <c r="B51" s="2337" t="s">
        <v>2817</v>
      </c>
      <c r="C51" s="2994">
        <v>23000</v>
      </c>
      <c r="D51" s="2994">
        <v>23460</v>
      </c>
      <c r="E51" s="2994">
        <v>25290</v>
      </c>
      <c r="F51" s="2994"/>
      <c r="G51" s="2998">
        <v>16420</v>
      </c>
      <c r="N51" s="2336" t="s">
        <v>2941</v>
      </c>
      <c r="Q51" s="2343" t="s">
        <v>2942</v>
      </c>
    </row>
    <row r="52" spans="1:17" ht="14.25" customHeight="1">
      <c r="A52" s="2336" t="s">
        <v>294</v>
      </c>
      <c r="B52" s="2337" t="s">
        <v>2821</v>
      </c>
      <c r="C52" s="2994">
        <v>26660</v>
      </c>
      <c r="D52" s="2994">
        <v>22350</v>
      </c>
      <c r="E52" s="2994">
        <v>22920</v>
      </c>
      <c r="F52" s="2994"/>
      <c r="G52" s="2998">
        <v>15640</v>
      </c>
      <c r="N52" s="2336" t="s">
        <v>2943</v>
      </c>
    </row>
    <row r="53" spans="1:17" ht="14.25" customHeight="1">
      <c r="A53" s="2336" t="s">
        <v>294</v>
      </c>
      <c r="B53" s="2337" t="s">
        <v>2826</v>
      </c>
      <c r="C53" s="2994">
        <v>23580</v>
      </c>
      <c r="D53" s="2994"/>
      <c r="E53" s="2994">
        <v>24280</v>
      </c>
      <c r="F53" s="2994"/>
      <c r="G53" s="2998"/>
      <c r="N53" s="2336" t="s">
        <v>2944</v>
      </c>
    </row>
    <row r="54" spans="1:17" ht="14.25" customHeight="1" thickBot="1">
      <c r="A54" s="2348" t="s">
        <v>294</v>
      </c>
      <c r="B54" s="2342" t="s">
        <v>2829</v>
      </c>
      <c r="C54" s="2995">
        <v>22460</v>
      </c>
      <c r="D54" s="2995"/>
      <c r="E54" s="2995"/>
      <c r="F54" s="2995"/>
      <c r="G54" s="2999"/>
      <c r="N54" s="2336" t="s">
        <v>2945</v>
      </c>
    </row>
    <row r="55" spans="1:17" ht="14.25" customHeight="1">
      <c r="A55" s="2341" t="s">
        <v>108</v>
      </c>
      <c r="B55" s="2332" t="s">
        <v>2946</v>
      </c>
      <c r="C55" s="2994">
        <v>21970</v>
      </c>
      <c r="D55" s="2994">
        <v>20370</v>
      </c>
      <c r="E55" s="2994">
        <v>20180</v>
      </c>
      <c r="F55" s="2994">
        <v>5730</v>
      </c>
      <c r="G55" s="2994">
        <v>13820</v>
      </c>
      <c r="N55" s="2336" t="s">
        <v>2947</v>
      </c>
    </row>
    <row r="56" spans="1:17" ht="14.25" customHeight="1">
      <c r="A56" s="2336" t="s">
        <v>108</v>
      </c>
      <c r="B56" s="2336" t="s">
        <v>128</v>
      </c>
      <c r="C56" s="2994">
        <v>20470</v>
      </c>
      <c r="D56" s="2994">
        <v>20700</v>
      </c>
      <c r="E56" s="2994">
        <v>20380</v>
      </c>
      <c r="F56" s="2994">
        <v>4760</v>
      </c>
      <c r="G56" s="2994">
        <v>14050</v>
      </c>
      <c r="N56" s="2336" t="s">
        <v>2948</v>
      </c>
    </row>
    <row r="57" spans="1:17" ht="14.25" customHeight="1">
      <c r="A57" s="2336" t="s">
        <v>108</v>
      </c>
      <c r="B57" s="2336" t="s">
        <v>137</v>
      </c>
      <c r="C57" s="2994">
        <v>20790</v>
      </c>
      <c r="D57" s="2994">
        <v>21370</v>
      </c>
      <c r="E57" s="2994">
        <v>20890</v>
      </c>
      <c r="F57" s="2994">
        <v>4910</v>
      </c>
      <c r="G57" s="2994">
        <v>14510</v>
      </c>
      <c r="N57" s="2336" t="s">
        <v>2949</v>
      </c>
    </row>
    <row r="58" spans="1:17" ht="14.25" customHeight="1">
      <c r="A58" s="2336" t="s">
        <v>108</v>
      </c>
      <c r="B58" s="2336" t="s">
        <v>146</v>
      </c>
      <c r="C58" s="2994">
        <v>21460</v>
      </c>
      <c r="D58" s="2994">
        <v>20920</v>
      </c>
      <c r="E58" s="2994">
        <v>23410</v>
      </c>
      <c r="F58" s="2994">
        <v>5100</v>
      </c>
      <c r="G58" s="2994">
        <v>14200</v>
      </c>
      <c r="N58" s="2336" t="s">
        <v>2950</v>
      </c>
    </row>
    <row r="59" spans="1:17" ht="14.25" customHeight="1">
      <c r="A59" s="2336" t="s">
        <v>108</v>
      </c>
      <c r="B59" s="2336" t="s">
        <v>155</v>
      </c>
      <c r="C59" s="2994">
        <v>21000</v>
      </c>
      <c r="D59" s="2994">
        <v>21550</v>
      </c>
      <c r="E59" s="2994">
        <v>21150</v>
      </c>
      <c r="F59" s="2994">
        <v>5250</v>
      </c>
      <c r="G59" s="2994">
        <v>14630</v>
      </c>
      <c r="N59" s="2336" t="s">
        <v>2951</v>
      </c>
    </row>
    <row r="60" spans="1:17" ht="14.25" customHeight="1">
      <c r="A60" s="2336" t="s">
        <v>108</v>
      </c>
      <c r="B60" s="2336" t="s">
        <v>162</v>
      </c>
      <c r="C60" s="2994">
        <v>21640</v>
      </c>
      <c r="D60" s="2994">
        <v>21260</v>
      </c>
      <c r="E60" s="2994">
        <v>24040</v>
      </c>
      <c r="F60" s="2994">
        <v>4470</v>
      </c>
      <c r="G60" s="2994">
        <v>14430</v>
      </c>
      <c r="N60" s="2336" t="s">
        <v>2952</v>
      </c>
    </row>
    <row r="61" spans="1:17" ht="14.25" customHeight="1">
      <c r="A61" s="2336" t="s">
        <v>108</v>
      </c>
      <c r="B61" s="2336" t="s">
        <v>168</v>
      </c>
      <c r="C61" s="2994">
        <v>21330</v>
      </c>
      <c r="D61" s="2994">
        <v>18640</v>
      </c>
      <c r="E61" s="2994">
        <v>21190</v>
      </c>
      <c r="F61" s="2994">
        <v>4180</v>
      </c>
      <c r="G61" s="2994">
        <v>12650</v>
      </c>
      <c r="N61" s="2336" t="s">
        <v>2953</v>
      </c>
    </row>
    <row r="62" spans="1:17" ht="14.25" customHeight="1">
      <c r="A62" s="2336" t="s">
        <v>108</v>
      </c>
      <c r="B62" s="2336" t="s">
        <v>175</v>
      </c>
      <c r="C62" s="2994">
        <v>18710</v>
      </c>
      <c r="D62" s="2994">
        <v>19400</v>
      </c>
      <c r="E62" s="2994">
        <v>23750</v>
      </c>
      <c r="F62" s="2994">
        <v>4860</v>
      </c>
      <c r="G62" s="2994">
        <v>13170</v>
      </c>
      <c r="N62" s="2336" t="s">
        <v>2954</v>
      </c>
    </row>
    <row r="63" spans="1:17" ht="14.25" customHeight="1">
      <c r="A63" s="2336" t="s">
        <v>108</v>
      </c>
      <c r="B63" s="2336" t="s">
        <v>185</v>
      </c>
      <c r="C63" s="2994">
        <v>19480</v>
      </c>
      <c r="D63" s="2994">
        <v>16830</v>
      </c>
      <c r="E63" s="2994">
        <v>21590</v>
      </c>
      <c r="F63" s="2994">
        <v>4560</v>
      </c>
      <c r="G63" s="2994">
        <v>11420</v>
      </c>
      <c r="N63" s="2336" t="s">
        <v>2955</v>
      </c>
    </row>
    <row r="64" spans="1:17" ht="14.25" customHeight="1" thickBot="1">
      <c r="A64" s="2336" t="s">
        <v>108</v>
      </c>
      <c r="B64" s="2336" t="s">
        <v>194</v>
      </c>
      <c r="C64" s="2994">
        <v>16920</v>
      </c>
      <c r="D64" s="2994">
        <v>19190</v>
      </c>
      <c r="E64" s="2994">
        <v>22200</v>
      </c>
      <c r="F64" s="2994">
        <v>4390</v>
      </c>
      <c r="G64" s="2994">
        <v>13030</v>
      </c>
      <c r="N64" s="2343" t="s">
        <v>2956</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2827</v>
      </c>
      <c r="C78" s="2994">
        <v>19820</v>
      </c>
      <c r="D78" s="2994">
        <v>19780</v>
      </c>
      <c r="E78" s="2994">
        <v>18560</v>
      </c>
      <c r="F78" s="2994"/>
      <c r="G78" s="2994">
        <v>13430</v>
      </c>
    </row>
    <row r="79" spans="1:7" s="2201" customFormat="1" ht="14.25" customHeight="1">
      <c r="A79" s="2336" t="s">
        <v>108</v>
      </c>
      <c r="B79" s="2336" t="s">
        <v>2830</v>
      </c>
      <c r="C79" s="2994">
        <v>21660</v>
      </c>
      <c r="D79" s="2994">
        <v>18000</v>
      </c>
      <c r="E79" s="2994">
        <v>22570</v>
      </c>
      <c r="F79" s="2994"/>
      <c r="G79" s="2994">
        <v>12220</v>
      </c>
    </row>
    <row r="80" spans="1:7" s="2201" customFormat="1" ht="14.25" customHeight="1">
      <c r="A80" s="2336" t="s">
        <v>108</v>
      </c>
      <c r="B80" s="2336" t="s">
        <v>2834</v>
      </c>
      <c r="C80" s="2994">
        <v>19850</v>
      </c>
      <c r="D80" s="2994"/>
      <c r="E80" s="2994">
        <v>21700</v>
      </c>
      <c r="F80" s="2994"/>
      <c r="G80" s="2994"/>
    </row>
    <row r="81" spans="1:7" s="2201" customFormat="1" ht="14.25" customHeight="1">
      <c r="A81" s="2336" t="s">
        <v>108</v>
      </c>
      <c r="B81" s="2336" t="s">
        <v>2839</v>
      </c>
      <c r="C81" s="2994">
        <v>18080</v>
      </c>
      <c r="D81" s="2994"/>
      <c r="E81" s="2994">
        <v>20900</v>
      </c>
      <c r="F81" s="2994"/>
      <c r="G81" s="2994"/>
    </row>
    <row r="82" spans="1:7" s="2201" customFormat="1" ht="14.25" customHeight="1">
      <c r="A82" s="2336" t="s">
        <v>108</v>
      </c>
      <c r="B82" s="2336" t="s">
        <v>2846</v>
      </c>
      <c r="C82" s="2994"/>
      <c r="D82" s="2994"/>
      <c r="E82" s="2994">
        <v>20840</v>
      </c>
      <c r="F82" s="2994"/>
      <c r="G82" s="2994"/>
    </row>
    <row r="83" spans="1:7" s="2201" customFormat="1" ht="14.25" customHeight="1">
      <c r="A83" s="2336" t="s">
        <v>108</v>
      </c>
      <c r="B83" s="2336" t="s">
        <v>2957</v>
      </c>
      <c r="C83" s="2994"/>
      <c r="D83" s="2994"/>
      <c r="E83" s="2994"/>
      <c r="F83" s="2994">
        <v>4770</v>
      </c>
      <c r="G83" s="2994"/>
    </row>
    <row r="84" spans="1:7" s="2201" customFormat="1" ht="14.25" customHeight="1">
      <c r="A84" s="2336" t="s">
        <v>108</v>
      </c>
      <c r="B84" s="2336" t="s">
        <v>2958</v>
      </c>
      <c r="C84" s="2994"/>
      <c r="D84" s="2994"/>
      <c r="E84" s="2994"/>
      <c r="F84" s="2994">
        <v>4600</v>
      </c>
      <c r="G84" s="2994"/>
    </row>
    <row r="85" spans="1:7" s="2201" customFormat="1" ht="14.25" customHeight="1">
      <c r="A85" s="2336" t="s">
        <v>108</v>
      </c>
      <c r="B85" s="2336" t="s">
        <v>2959</v>
      </c>
      <c r="C85" s="2994"/>
      <c r="D85" s="2994"/>
      <c r="E85" s="2994"/>
      <c r="F85" s="2994">
        <v>4680</v>
      </c>
      <c r="G85" s="2994"/>
    </row>
    <row r="86" spans="1:7" s="2201" customFormat="1" ht="14.25" customHeight="1" thickBot="1">
      <c r="A86" s="2344" t="s">
        <v>108</v>
      </c>
      <c r="B86" s="2346" t="s">
        <v>2960</v>
      </c>
      <c r="C86" s="2996">
        <v>16610</v>
      </c>
      <c r="D86" s="2996">
        <v>16540</v>
      </c>
      <c r="E86" s="2996">
        <v>18850</v>
      </c>
      <c r="F86" s="2996"/>
      <c r="G86" s="2996">
        <v>11220</v>
      </c>
    </row>
    <row r="87" spans="1:7" s="2201" customFormat="1" ht="14.25" customHeight="1">
      <c r="A87" s="2341" t="s">
        <v>301</v>
      </c>
      <c r="B87" s="2332" t="s">
        <v>2961</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2840</v>
      </c>
      <c r="C113" s="2994">
        <v>15520</v>
      </c>
      <c r="D113" s="2994">
        <v>15450</v>
      </c>
      <c r="E113" s="2994"/>
      <c r="F113" s="2994"/>
      <c r="G113" s="2998">
        <v>10210</v>
      </c>
    </row>
    <row r="114" spans="1:7" s="2201" customFormat="1" ht="14.25" customHeight="1">
      <c r="A114" s="2336" t="s">
        <v>301</v>
      </c>
      <c r="B114" s="2336" t="s">
        <v>2847</v>
      </c>
      <c r="C114" s="2994">
        <v>13110</v>
      </c>
      <c r="D114" s="2994">
        <v>13050</v>
      </c>
      <c r="E114" s="2994"/>
      <c r="F114" s="2994"/>
      <c r="G114" s="2998">
        <v>8620</v>
      </c>
    </row>
    <row r="115" spans="1:7" s="2201" customFormat="1" ht="14.25" customHeight="1">
      <c r="A115" s="2336" t="s">
        <v>301</v>
      </c>
      <c r="B115" s="2336" t="s">
        <v>2853</v>
      </c>
      <c r="C115" s="2994">
        <v>12460</v>
      </c>
      <c r="D115" s="2994">
        <v>12390</v>
      </c>
      <c r="E115" s="2994"/>
      <c r="F115" s="2994"/>
      <c r="G115" s="2998">
        <v>8190</v>
      </c>
    </row>
    <row r="116" spans="1:7" s="2201" customFormat="1" ht="14.25" customHeight="1">
      <c r="A116" s="2336" t="s">
        <v>301</v>
      </c>
      <c r="B116" s="2336" t="s">
        <v>2860</v>
      </c>
      <c r="C116" s="2994">
        <v>13580</v>
      </c>
      <c r="D116" s="2994">
        <v>13520</v>
      </c>
      <c r="E116" s="2994"/>
      <c r="F116" s="2994"/>
      <c r="G116" s="2998">
        <v>8930</v>
      </c>
    </row>
    <row r="117" spans="1:7" s="2201" customFormat="1" ht="14.25" customHeight="1">
      <c r="A117" s="2336" t="s">
        <v>301</v>
      </c>
      <c r="B117" s="2336" t="s">
        <v>2867</v>
      </c>
      <c r="C117" s="2994">
        <v>17120</v>
      </c>
      <c r="D117" s="2994">
        <v>17040</v>
      </c>
      <c r="E117" s="2994"/>
      <c r="F117" s="2994"/>
      <c r="G117" s="2998">
        <v>11260</v>
      </c>
    </row>
    <row r="118" spans="1:7" s="2201" customFormat="1" ht="14.25" customHeight="1">
      <c r="A118" s="2336" t="s">
        <v>301</v>
      </c>
      <c r="B118" s="2336" t="s">
        <v>2872</v>
      </c>
      <c r="C118" s="2994">
        <v>14860</v>
      </c>
      <c r="D118" s="2994">
        <v>14790</v>
      </c>
      <c r="E118" s="2994"/>
      <c r="F118" s="2994"/>
      <c r="G118" s="2998">
        <v>9780</v>
      </c>
    </row>
    <row r="119" spans="1:7" s="2201" customFormat="1" ht="14.25" customHeight="1">
      <c r="A119" s="2336" t="s">
        <v>301</v>
      </c>
      <c r="B119" s="2336" t="s">
        <v>2876</v>
      </c>
      <c r="C119" s="2994">
        <v>16470</v>
      </c>
      <c r="D119" s="2994">
        <v>16400</v>
      </c>
      <c r="E119" s="2994"/>
      <c r="F119" s="2994"/>
      <c r="G119" s="2998">
        <v>10840</v>
      </c>
    </row>
    <row r="120" spans="1:7" s="2201" customFormat="1" ht="14.25" customHeight="1">
      <c r="A120" s="2336" t="s">
        <v>301</v>
      </c>
      <c r="B120" s="2336" t="s">
        <v>2962</v>
      </c>
      <c r="C120" s="2994"/>
      <c r="D120" s="2994"/>
      <c r="E120" s="2994"/>
      <c r="F120" s="2994">
        <v>4160</v>
      </c>
      <c r="G120" s="2998"/>
    </row>
    <row r="121" spans="1:7" s="2201" customFormat="1" ht="14.25" customHeight="1">
      <c r="A121" s="2336" t="s">
        <v>301</v>
      </c>
      <c r="B121" s="2336" t="s">
        <v>2963</v>
      </c>
      <c r="C121" s="2994"/>
      <c r="D121" s="2994"/>
      <c r="E121" s="2994"/>
      <c r="F121" s="2994">
        <v>3880</v>
      </c>
      <c r="G121" s="2998"/>
    </row>
    <row r="122" spans="1:7" s="2201" customFormat="1" ht="14.25" customHeight="1">
      <c r="A122" s="2336" t="s">
        <v>301</v>
      </c>
      <c r="B122" s="2336" t="s">
        <v>2964</v>
      </c>
      <c r="C122" s="2994">
        <v>13750</v>
      </c>
      <c r="D122" s="2994">
        <v>13680</v>
      </c>
      <c r="E122" s="2994">
        <v>16460</v>
      </c>
      <c r="F122" s="2994">
        <v>2880</v>
      </c>
      <c r="G122" s="2998">
        <v>9040</v>
      </c>
    </row>
    <row r="123" spans="1:7" s="2201" customFormat="1" ht="14.25" customHeight="1">
      <c r="A123" s="2336" t="s">
        <v>301</v>
      </c>
      <c r="B123" s="2336" t="s">
        <v>2895</v>
      </c>
      <c r="C123" s="2994">
        <v>13590</v>
      </c>
      <c r="D123" s="2994">
        <v>13520</v>
      </c>
      <c r="E123" s="2994">
        <v>16290</v>
      </c>
      <c r="F123" s="2994">
        <v>2790</v>
      </c>
      <c r="G123" s="2998">
        <v>8930</v>
      </c>
    </row>
    <row r="124" spans="1:7" s="2201" customFormat="1" ht="14.25" customHeight="1">
      <c r="A124" s="2336" t="s">
        <v>301</v>
      </c>
      <c r="B124" s="2336" t="s">
        <v>2900</v>
      </c>
      <c r="C124" s="2994">
        <v>13400</v>
      </c>
      <c r="D124" s="2994">
        <v>13320</v>
      </c>
      <c r="E124" s="2994">
        <v>16100</v>
      </c>
      <c r="F124" s="2994">
        <v>2320</v>
      </c>
      <c r="G124" s="2998">
        <v>8800</v>
      </c>
    </row>
    <row r="125" spans="1:7" s="2201" customFormat="1" ht="14.25" customHeight="1">
      <c r="A125" s="2336" t="s">
        <v>301</v>
      </c>
      <c r="B125" s="2336" t="s">
        <v>2905</v>
      </c>
      <c r="C125" s="2994">
        <v>12860</v>
      </c>
      <c r="D125" s="2994">
        <v>12790</v>
      </c>
      <c r="E125" s="2994">
        <v>15370</v>
      </c>
      <c r="F125" s="2994">
        <v>2280</v>
      </c>
      <c r="G125" s="2998">
        <v>8450</v>
      </c>
    </row>
    <row r="126" spans="1:7" s="2201" customFormat="1" ht="14.25" customHeight="1" thickBot="1">
      <c r="A126" s="2348" t="s">
        <v>301</v>
      </c>
      <c r="B126" s="2343" t="s">
        <v>2910</v>
      </c>
      <c r="C126" s="2995">
        <v>12960</v>
      </c>
      <c r="D126" s="2995">
        <v>12890</v>
      </c>
      <c r="E126" s="2995">
        <v>15530</v>
      </c>
      <c r="F126" s="2995">
        <v>2910</v>
      </c>
      <c r="G126" s="2999">
        <v>8520</v>
      </c>
    </row>
    <row r="127" spans="1:7" s="2201" customFormat="1" ht="14.25" customHeight="1">
      <c r="A127" s="2341" t="s">
        <v>27</v>
      </c>
      <c r="B127" s="2332" t="s">
        <v>2965</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2966</v>
      </c>
      <c r="C148" s="2994">
        <v>10370</v>
      </c>
      <c r="D148" s="2994">
        <v>10310</v>
      </c>
      <c r="E148" s="2994">
        <v>12970</v>
      </c>
      <c r="F148" s="2994"/>
      <c r="G148" s="2994">
        <v>6630</v>
      </c>
    </row>
    <row r="149" spans="1:7" s="2201" customFormat="1" ht="14.25" customHeight="1">
      <c r="A149" s="2336" t="s">
        <v>27</v>
      </c>
      <c r="B149" s="2336" t="s">
        <v>2967</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2841</v>
      </c>
      <c r="C153" s="2994">
        <v>10880</v>
      </c>
      <c r="D153" s="2994">
        <v>10820</v>
      </c>
      <c r="E153" s="2994">
        <v>13660</v>
      </c>
      <c r="F153" s="2994">
        <v>2260</v>
      </c>
      <c r="G153" s="2994">
        <v>6970</v>
      </c>
    </row>
    <row r="154" spans="1:7" s="2201" customFormat="1" ht="14.25" customHeight="1">
      <c r="A154" s="2336" t="s">
        <v>27</v>
      </c>
      <c r="B154" s="2336" t="s">
        <v>2968</v>
      </c>
      <c r="C154" s="2994">
        <v>11220</v>
      </c>
      <c r="D154" s="2994">
        <v>11160</v>
      </c>
      <c r="E154" s="2994">
        <v>14130</v>
      </c>
      <c r="F154" s="2994">
        <v>2230</v>
      </c>
      <c r="G154" s="2994">
        <v>7180</v>
      </c>
    </row>
    <row r="155" spans="1:7" s="2201" customFormat="1" ht="14.25" customHeight="1">
      <c r="A155" s="2336" t="s">
        <v>27</v>
      </c>
      <c r="B155" s="2336" t="s">
        <v>2854</v>
      </c>
      <c r="C155" s="2994">
        <v>10430</v>
      </c>
      <c r="D155" s="2994">
        <v>10380</v>
      </c>
      <c r="E155" s="2994">
        <v>13140</v>
      </c>
      <c r="F155" s="2994">
        <v>2080</v>
      </c>
      <c r="G155" s="2994">
        <v>6650</v>
      </c>
    </row>
    <row r="156" spans="1:7" s="2201" customFormat="1" ht="14.25" customHeight="1">
      <c r="A156" s="2336" t="s">
        <v>27</v>
      </c>
      <c r="B156" s="2336" t="s">
        <v>2969</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2970</v>
      </c>
      <c r="C160" s="2994">
        <v>11180</v>
      </c>
      <c r="D160" s="2994">
        <v>11140</v>
      </c>
      <c r="E160" s="2994">
        <v>14050</v>
      </c>
      <c r="F160" s="2994">
        <v>2270</v>
      </c>
      <c r="G160" s="2994">
        <v>7170</v>
      </c>
    </row>
    <row r="161" spans="1:7" s="2201" customFormat="1" ht="14.25" customHeight="1">
      <c r="A161" s="2336" t="s">
        <v>27</v>
      </c>
      <c r="B161" s="2336" t="s">
        <v>2886</v>
      </c>
      <c r="C161" s="2994">
        <v>11160</v>
      </c>
      <c r="D161" s="2994">
        <v>11120</v>
      </c>
      <c r="E161" s="2994">
        <v>14020</v>
      </c>
      <c r="F161" s="2994">
        <v>2150</v>
      </c>
      <c r="G161" s="2994">
        <v>7160</v>
      </c>
    </row>
    <row r="162" spans="1:7" s="2201" customFormat="1" ht="14.25" customHeight="1">
      <c r="A162" s="2336" t="s">
        <v>27</v>
      </c>
      <c r="B162" s="2336" t="s">
        <v>2891</v>
      </c>
      <c r="C162" s="2994">
        <v>9620</v>
      </c>
      <c r="D162" s="2994">
        <v>9570</v>
      </c>
      <c r="E162" s="2994">
        <v>12320</v>
      </c>
      <c r="F162" s="2994">
        <v>2010</v>
      </c>
      <c r="G162" s="2994">
        <v>6160</v>
      </c>
    </row>
    <row r="163" spans="1:7" s="2201" customFormat="1" ht="14.25" customHeight="1">
      <c r="A163" s="2336" t="s">
        <v>27</v>
      </c>
      <c r="B163" s="2336" t="s">
        <v>2896</v>
      </c>
      <c r="C163" s="2994">
        <v>9320</v>
      </c>
      <c r="D163" s="2994">
        <v>9270</v>
      </c>
      <c r="E163" s="2994">
        <v>11790</v>
      </c>
      <c r="F163" s="2994">
        <v>1920</v>
      </c>
      <c r="G163" s="2994">
        <v>5960</v>
      </c>
    </row>
    <row r="164" spans="1:7" s="2201" customFormat="1" ht="14.25" customHeight="1">
      <c r="A164" s="2336" t="s">
        <v>27</v>
      </c>
      <c r="B164" s="2336" t="s">
        <v>2901</v>
      </c>
      <c r="C164" s="2994"/>
      <c r="D164" s="2994"/>
      <c r="E164" s="2994"/>
      <c r="F164" s="2994">
        <v>1980</v>
      </c>
      <c r="G164" s="2994"/>
    </row>
    <row r="165" spans="1:7" s="2201" customFormat="1" ht="14.25" customHeight="1">
      <c r="A165" s="2336" t="s">
        <v>27</v>
      </c>
      <c r="B165" s="2336" t="s">
        <v>2971</v>
      </c>
      <c r="C165" s="2994">
        <v>11060</v>
      </c>
      <c r="D165" s="2994">
        <v>11030</v>
      </c>
      <c r="E165" s="2994">
        <v>13850</v>
      </c>
      <c r="F165" s="2994">
        <v>2170</v>
      </c>
      <c r="G165" s="2994">
        <v>7090</v>
      </c>
    </row>
    <row r="166" spans="1:7" s="2201" customFormat="1" ht="14.25" customHeight="1">
      <c r="A166" s="2336" t="s">
        <v>27</v>
      </c>
      <c r="B166" s="2336" t="s">
        <v>2911</v>
      </c>
      <c r="C166" s="2994">
        <v>11050</v>
      </c>
      <c r="D166" s="2994">
        <v>11010</v>
      </c>
      <c r="E166" s="2994">
        <v>13920</v>
      </c>
      <c r="F166" s="2994">
        <v>2140</v>
      </c>
      <c r="G166" s="2994">
        <v>7080</v>
      </c>
    </row>
    <row r="167" spans="1:7" s="2201" customFormat="1" ht="14.25" customHeight="1">
      <c r="A167" s="2336" t="s">
        <v>27</v>
      </c>
      <c r="B167" s="2336" t="s">
        <v>2915</v>
      </c>
      <c r="C167" s="2994">
        <v>10930</v>
      </c>
      <c r="D167" s="2994">
        <v>10890</v>
      </c>
      <c r="E167" s="2994">
        <v>13790</v>
      </c>
      <c r="F167" s="2994">
        <v>2010</v>
      </c>
      <c r="G167" s="2994">
        <v>7000</v>
      </c>
    </row>
    <row r="168" spans="1:7" s="2201" customFormat="1" ht="14.25" customHeight="1">
      <c r="A168" s="2336" t="s">
        <v>27</v>
      </c>
      <c r="B168" s="2336" t="s">
        <v>2920</v>
      </c>
      <c r="C168" s="2994">
        <v>9420</v>
      </c>
      <c r="D168" s="2994">
        <v>9380</v>
      </c>
      <c r="E168" s="2994">
        <v>11970</v>
      </c>
      <c r="F168" s="2994"/>
      <c r="G168" s="2994">
        <v>6040</v>
      </c>
    </row>
    <row r="169" spans="1:7" s="2201" customFormat="1" ht="14.25" customHeight="1">
      <c r="A169" s="2336" t="s">
        <v>27</v>
      </c>
      <c r="B169" s="2336" t="s">
        <v>2972</v>
      </c>
      <c r="C169" s="2994"/>
      <c r="D169" s="2994"/>
      <c r="E169" s="2994"/>
      <c r="F169" s="2994">
        <v>2880</v>
      </c>
      <c r="G169" s="2994"/>
    </row>
    <row r="170" spans="1:7" s="2201" customFormat="1" ht="14.25" customHeight="1">
      <c r="A170" s="2336" t="s">
        <v>27</v>
      </c>
      <c r="B170" s="2336" t="s">
        <v>2928</v>
      </c>
      <c r="C170" s="2994"/>
      <c r="D170" s="2994"/>
      <c r="E170" s="2994"/>
      <c r="F170" s="2994">
        <v>2880</v>
      </c>
      <c r="G170" s="2994"/>
    </row>
    <row r="171" spans="1:7" s="2201" customFormat="1" ht="14.25" customHeight="1">
      <c r="A171" s="2336" t="s">
        <v>27</v>
      </c>
      <c r="B171" s="2336" t="s">
        <v>2931</v>
      </c>
      <c r="C171" s="2994"/>
      <c r="D171" s="2994"/>
      <c r="E171" s="2994"/>
      <c r="F171" s="2994">
        <v>2880</v>
      </c>
      <c r="G171" s="2994"/>
    </row>
    <row r="172" spans="1:7" s="2201" customFormat="1" ht="14.25" customHeight="1">
      <c r="A172" s="2336" t="s">
        <v>27</v>
      </c>
      <c r="B172" s="2336" t="s">
        <v>2933</v>
      </c>
      <c r="C172" s="2994"/>
      <c r="D172" s="2994"/>
      <c r="E172" s="2994"/>
      <c r="F172" s="2994">
        <v>2880</v>
      </c>
      <c r="G172" s="2994"/>
    </row>
    <row r="173" spans="1:7" s="2201" customFormat="1" ht="14.25" customHeight="1">
      <c r="A173" s="2336" t="s">
        <v>27</v>
      </c>
      <c r="B173" s="2336" t="s">
        <v>2935</v>
      </c>
      <c r="C173" s="2994"/>
      <c r="D173" s="2994"/>
      <c r="E173" s="2994"/>
      <c r="F173" s="2994">
        <v>2150</v>
      </c>
      <c r="G173" s="2994"/>
    </row>
    <row r="174" spans="1:7" s="2201" customFormat="1" ht="14.25" customHeight="1">
      <c r="A174" s="2336" t="s">
        <v>27</v>
      </c>
      <c r="B174" s="2336" t="s">
        <v>2937</v>
      </c>
      <c r="C174" s="2994"/>
      <c r="D174" s="2994"/>
      <c r="E174" s="2994"/>
      <c r="F174" s="2994">
        <v>2030</v>
      </c>
      <c r="G174" s="2994"/>
    </row>
    <row r="175" spans="1:7" s="2201" customFormat="1" ht="14.25" customHeight="1">
      <c r="A175" s="2336" t="s">
        <v>27</v>
      </c>
      <c r="B175" s="2336" t="s">
        <v>2939</v>
      </c>
      <c r="C175" s="2994"/>
      <c r="D175" s="2994"/>
      <c r="E175" s="2994"/>
      <c r="F175" s="2994">
        <v>2780</v>
      </c>
      <c r="G175" s="2994"/>
    </row>
    <row r="176" spans="1:7" s="2201" customFormat="1" ht="14.25" customHeight="1">
      <c r="A176" s="2336" t="s">
        <v>27</v>
      </c>
      <c r="B176" s="2336" t="s">
        <v>2941</v>
      </c>
      <c r="C176" s="2994"/>
      <c r="D176" s="2994"/>
      <c r="E176" s="2994"/>
      <c r="F176" s="2994">
        <v>2780</v>
      </c>
      <c r="G176" s="2994"/>
    </row>
    <row r="177" spans="1:7" s="2201" customFormat="1" ht="14.25" customHeight="1">
      <c r="A177" s="2336" t="s">
        <v>27</v>
      </c>
      <c r="B177" s="2336" t="s">
        <v>2973</v>
      </c>
      <c r="C177" s="2994"/>
      <c r="D177" s="2994"/>
      <c r="E177" s="2994"/>
      <c r="F177" s="2994">
        <v>2780</v>
      </c>
      <c r="G177" s="2994"/>
    </row>
    <row r="178" spans="1:7" s="2201" customFormat="1" ht="14.25" customHeight="1">
      <c r="A178" s="2336" t="s">
        <v>27</v>
      </c>
      <c r="B178" s="2336" t="s">
        <v>2974</v>
      </c>
      <c r="C178" s="2994"/>
      <c r="D178" s="2994"/>
      <c r="E178" s="2994"/>
      <c r="F178" s="2994">
        <v>2060</v>
      </c>
      <c r="G178" s="2994"/>
    </row>
    <row r="179" spans="1:7" s="2201" customFormat="1" ht="14.25" customHeight="1">
      <c r="A179" s="2336" t="s">
        <v>27</v>
      </c>
      <c r="B179" s="2336" t="s">
        <v>2975</v>
      </c>
      <c r="C179" s="2994"/>
      <c r="D179" s="2994"/>
      <c r="E179" s="2994"/>
      <c r="F179" s="2994">
        <v>2120</v>
      </c>
      <c r="G179" s="2994"/>
    </row>
    <row r="180" spans="1:7" s="2201" customFormat="1" ht="14.25" customHeight="1">
      <c r="A180" s="2336" t="s">
        <v>27</v>
      </c>
      <c r="B180" s="2336" t="s">
        <v>2947</v>
      </c>
      <c r="C180" s="2994"/>
      <c r="D180" s="2994"/>
      <c r="E180" s="2994"/>
      <c r="F180" s="2994">
        <v>2340</v>
      </c>
      <c r="G180" s="2994"/>
    </row>
    <row r="181" spans="1:7" s="2201" customFormat="1" ht="14.25" customHeight="1">
      <c r="A181" s="2336" t="s">
        <v>27</v>
      </c>
      <c r="B181" s="2336" t="s">
        <v>2948</v>
      </c>
      <c r="C181" s="2994"/>
      <c r="D181" s="2994"/>
      <c r="E181" s="2994"/>
      <c r="F181" s="2994">
        <v>2340</v>
      </c>
      <c r="G181" s="2994"/>
    </row>
    <row r="182" spans="1:7" s="2201" customFormat="1" ht="14.25" customHeight="1">
      <c r="A182" s="2336" t="s">
        <v>27</v>
      </c>
      <c r="B182" s="2336" t="s">
        <v>2949</v>
      </c>
      <c r="C182" s="2994"/>
      <c r="D182" s="2994"/>
      <c r="E182" s="2994"/>
      <c r="F182" s="2994">
        <v>2340</v>
      </c>
      <c r="G182" s="2994"/>
    </row>
    <row r="183" spans="1:7" s="2201" customFormat="1" ht="14.25" customHeight="1">
      <c r="A183" s="2336" t="s">
        <v>27</v>
      </c>
      <c r="B183" s="2336" t="s">
        <v>2950</v>
      </c>
      <c r="C183" s="2994"/>
      <c r="D183" s="2994"/>
      <c r="E183" s="2994"/>
      <c r="F183" s="2994">
        <v>2340</v>
      </c>
      <c r="G183" s="2994"/>
    </row>
    <row r="184" spans="1:7" s="2201" customFormat="1" ht="14.25" customHeight="1">
      <c r="A184" s="2336" t="s">
        <v>27</v>
      </c>
      <c r="B184" s="2336" t="s">
        <v>2951</v>
      </c>
      <c r="C184" s="2994"/>
      <c r="D184" s="2994"/>
      <c r="E184" s="2994"/>
      <c r="F184" s="2994">
        <v>2340</v>
      </c>
      <c r="G184" s="2994"/>
    </row>
    <row r="185" spans="1:7" s="2201" customFormat="1" ht="14.25" customHeight="1">
      <c r="A185" s="2336" t="s">
        <v>27</v>
      </c>
      <c r="B185" s="2336" t="s">
        <v>2952</v>
      </c>
      <c r="C185" s="2994"/>
      <c r="D185" s="2994"/>
      <c r="E185" s="2994"/>
      <c r="F185" s="2994">
        <v>2530</v>
      </c>
      <c r="G185" s="2994"/>
    </row>
    <row r="186" spans="1:7" s="2201" customFormat="1" ht="14.25" customHeight="1">
      <c r="A186" s="2336" t="s">
        <v>27</v>
      </c>
      <c r="B186" s="2336" t="s">
        <v>2953</v>
      </c>
      <c r="C186" s="2994"/>
      <c r="D186" s="2994"/>
      <c r="E186" s="2994"/>
      <c r="F186" s="2994">
        <v>2550</v>
      </c>
      <c r="G186" s="2994"/>
    </row>
    <row r="187" spans="1:7" s="2201" customFormat="1" ht="14.25" customHeight="1">
      <c r="A187" s="2336" t="s">
        <v>27</v>
      </c>
      <c r="B187" s="2336" t="s">
        <v>2954</v>
      </c>
      <c r="C187" s="2994"/>
      <c r="D187" s="2994"/>
      <c r="E187" s="2994"/>
      <c r="F187" s="2994">
        <v>2070</v>
      </c>
      <c r="G187" s="2994"/>
    </row>
    <row r="188" spans="1:7" s="2201" customFormat="1" ht="14.25" customHeight="1">
      <c r="A188" s="2336" t="s">
        <v>27</v>
      </c>
      <c r="B188" s="2336" t="s">
        <v>2955</v>
      </c>
      <c r="C188" s="2994"/>
      <c r="D188" s="2994"/>
      <c r="E188" s="2994"/>
      <c r="F188" s="2994">
        <v>2340</v>
      </c>
      <c r="G188" s="2994"/>
    </row>
    <row r="189" spans="1:7" s="2201" customFormat="1" ht="14.25" customHeight="1" thickBot="1">
      <c r="A189" s="2344" t="s">
        <v>27</v>
      </c>
      <c r="B189" s="2347" t="s">
        <v>2956</v>
      </c>
      <c r="C189" s="2996"/>
      <c r="D189" s="2996"/>
      <c r="E189" s="2996"/>
      <c r="F189" s="2996">
        <v>2050</v>
      </c>
      <c r="G189" s="2996"/>
    </row>
    <row r="190" spans="1:7" s="2201" customFormat="1" ht="14.25" customHeight="1">
      <c r="A190" s="2341" t="s">
        <v>302</v>
      </c>
      <c r="B190" s="2332" t="s">
        <v>2976</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2977</v>
      </c>
      <c r="C199" s="2994">
        <v>8690</v>
      </c>
      <c r="D199" s="2994">
        <v>8630</v>
      </c>
      <c r="E199" s="2994">
        <v>11350</v>
      </c>
      <c r="F199" s="2994">
        <v>1600</v>
      </c>
      <c r="G199" s="2998">
        <v>5450</v>
      </c>
    </row>
    <row r="200" spans="1:7" s="2201" customFormat="1" ht="14.25" customHeight="1">
      <c r="A200" s="2336" t="s">
        <v>302</v>
      </c>
      <c r="B200" s="2336" t="s">
        <v>2788</v>
      </c>
      <c r="C200" s="2994"/>
      <c r="D200" s="2994"/>
      <c r="E200" s="2994"/>
      <c r="F200" s="2994">
        <v>1510</v>
      </c>
      <c r="G200" s="2998"/>
    </row>
    <row r="201" spans="1:7" s="2201" customFormat="1" ht="14.25" customHeight="1">
      <c r="A201" s="2336" t="s">
        <v>302</v>
      </c>
      <c r="B201" s="2336" t="s">
        <v>2978</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2979</v>
      </c>
      <c r="C203" s="2994">
        <v>8130</v>
      </c>
      <c r="D203" s="2994">
        <v>8070</v>
      </c>
      <c r="E203" s="2994">
        <v>10820</v>
      </c>
      <c r="F203" s="2994">
        <v>1690</v>
      </c>
      <c r="G203" s="2998">
        <v>5100</v>
      </c>
    </row>
    <row r="204" spans="1:7" s="2201" customFormat="1" ht="14.25" customHeight="1">
      <c r="A204" s="2336" t="s">
        <v>302</v>
      </c>
      <c r="B204" s="2336" t="s">
        <v>2799</v>
      </c>
      <c r="C204" s="2994">
        <v>8350</v>
      </c>
      <c r="D204" s="2994">
        <v>8290</v>
      </c>
      <c r="E204" s="2994">
        <v>11080</v>
      </c>
      <c r="F204" s="2994">
        <v>1450</v>
      </c>
      <c r="G204" s="2998">
        <v>5240</v>
      </c>
    </row>
    <row r="205" spans="1:7" s="2201" customFormat="1" ht="14.25" customHeight="1">
      <c r="A205" s="2336" t="s">
        <v>302</v>
      </c>
      <c r="B205" s="2336" t="s">
        <v>2801</v>
      </c>
      <c r="C205" s="2994">
        <v>7190</v>
      </c>
      <c r="D205" s="2994">
        <v>7130</v>
      </c>
      <c r="E205" s="2994">
        <v>9490</v>
      </c>
      <c r="F205" s="2994">
        <v>1470</v>
      </c>
      <c r="G205" s="2998">
        <v>4510</v>
      </c>
    </row>
    <row r="206" spans="1:7" s="2201" customFormat="1" ht="14.25" customHeight="1">
      <c r="A206" s="2336" t="s">
        <v>302</v>
      </c>
      <c r="B206" s="2336" t="s">
        <v>2804</v>
      </c>
      <c r="C206" s="2994">
        <v>7000</v>
      </c>
      <c r="D206" s="2994">
        <v>6950</v>
      </c>
      <c r="E206" s="2994">
        <v>9170</v>
      </c>
      <c r="F206" s="2994">
        <v>1400</v>
      </c>
      <c r="G206" s="2998">
        <v>4380</v>
      </c>
    </row>
    <row r="207" spans="1:7" s="2201" customFormat="1" ht="14.25" customHeight="1">
      <c r="A207" s="2336" t="s">
        <v>302</v>
      </c>
      <c r="B207" s="2336" t="s">
        <v>2806</v>
      </c>
      <c r="C207" s="2994">
        <v>6950</v>
      </c>
      <c r="D207" s="2994">
        <v>6900</v>
      </c>
      <c r="E207" s="2994">
        <v>9110</v>
      </c>
      <c r="F207" s="2994">
        <v>1790</v>
      </c>
      <c r="G207" s="2998">
        <v>4360</v>
      </c>
    </row>
    <row r="208" spans="1:7" s="2201" customFormat="1" ht="14.25" customHeight="1">
      <c r="A208" s="2336" t="s">
        <v>302</v>
      </c>
      <c r="B208" s="2336" t="s">
        <v>2980</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2816</v>
      </c>
      <c r="C210" s="2994">
        <v>8710</v>
      </c>
      <c r="D210" s="2994">
        <v>8660</v>
      </c>
      <c r="E210" s="2994">
        <v>11440</v>
      </c>
      <c r="F210" s="2994">
        <v>1740</v>
      </c>
      <c r="G210" s="2998">
        <v>5470</v>
      </c>
    </row>
    <row r="211" spans="1:7" s="2201" customFormat="1" ht="14.25" customHeight="1">
      <c r="A211" s="2336" t="s">
        <v>302</v>
      </c>
      <c r="B211" s="2336" t="s">
        <v>2981</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2982</v>
      </c>
      <c r="C214" s="2994">
        <v>8090</v>
      </c>
      <c r="D214" s="2994">
        <v>8030</v>
      </c>
      <c r="E214" s="2994">
        <v>10780</v>
      </c>
      <c r="F214" s="2994">
        <v>1570</v>
      </c>
      <c r="G214" s="2998">
        <v>5070</v>
      </c>
    </row>
    <row r="215" spans="1:7" s="2201" customFormat="1" ht="14.25" customHeight="1">
      <c r="A215" s="2336" t="s">
        <v>302</v>
      </c>
      <c r="B215" s="2336" t="s">
        <v>2983</v>
      </c>
      <c r="C215" s="2994">
        <v>7950</v>
      </c>
      <c r="D215" s="2994">
        <v>7900</v>
      </c>
      <c r="E215" s="2994">
        <v>10560</v>
      </c>
      <c r="F215" s="2994">
        <v>1630</v>
      </c>
      <c r="G215" s="2998">
        <v>4990</v>
      </c>
    </row>
    <row r="216" spans="1:7" s="2201" customFormat="1" ht="14.25" customHeight="1">
      <c r="A216" s="2336" t="s">
        <v>302</v>
      </c>
      <c r="B216" s="2336" t="s">
        <v>2984</v>
      </c>
      <c r="C216" s="2994">
        <v>8490</v>
      </c>
      <c r="D216" s="2994">
        <v>8440</v>
      </c>
      <c r="E216" s="2994">
        <v>11260</v>
      </c>
      <c r="F216" s="2994">
        <v>1690</v>
      </c>
      <c r="G216" s="2998">
        <v>5330</v>
      </c>
    </row>
    <row r="217" spans="1:7" s="2201" customFormat="1" ht="14.25" customHeight="1">
      <c r="A217" s="2336" t="s">
        <v>302</v>
      </c>
      <c r="B217" s="2336" t="s">
        <v>2849</v>
      </c>
      <c r="C217" s="2994">
        <v>8200</v>
      </c>
      <c r="D217" s="2994">
        <v>8150</v>
      </c>
      <c r="E217" s="2994">
        <v>10910</v>
      </c>
      <c r="F217" s="2994">
        <v>1670</v>
      </c>
      <c r="G217" s="2998">
        <v>5150</v>
      </c>
    </row>
    <row r="218" spans="1:7" s="2201" customFormat="1" ht="14.25" customHeight="1">
      <c r="A218" s="2336" t="s">
        <v>302</v>
      </c>
      <c r="B218" s="2336" t="s">
        <v>2985</v>
      </c>
      <c r="C218" s="2994"/>
      <c r="D218" s="2994"/>
      <c r="E218" s="2994"/>
      <c r="F218" s="2994">
        <v>2040</v>
      </c>
      <c r="G218" s="2998"/>
    </row>
    <row r="219" spans="1:7" s="2201" customFormat="1" ht="14.25" customHeight="1">
      <c r="A219" s="2336" t="s">
        <v>302</v>
      </c>
      <c r="B219" s="2336" t="s">
        <v>2986</v>
      </c>
      <c r="C219" s="2994"/>
      <c r="D219" s="2994"/>
      <c r="E219" s="2994"/>
      <c r="F219" s="2994">
        <v>2040</v>
      </c>
      <c r="G219" s="2998"/>
    </row>
    <row r="220" spans="1:7" s="2201" customFormat="1" ht="14.25" customHeight="1">
      <c r="A220" s="2336" t="s">
        <v>302</v>
      </c>
      <c r="B220" s="2336" t="s">
        <v>2987</v>
      </c>
      <c r="C220" s="2994"/>
      <c r="D220" s="2994"/>
      <c r="E220" s="2994"/>
      <c r="F220" s="2994">
        <v>2040</v>
      </c>
      <c r="G220" s="2998"/>
    </row>
    <row r="221" spans="1:7" s="2201" customFormat="1" ht="14.25" customHeight="1">
      <c r="A221" s="2336" t="s">
        <v>302</v>
      </c>
      <c r="B221" s="2336" t="s">
        <v>2988</v>
      </c>
      <c r="C221" s="2994"/>
      <c r="D221" s="2994"/>
      <c r="E221" s="2994"/>
      <c r="F221" s="2994">
        <v>2040</v>
      </c>
      <c r="G221" s="2998"/>
    </row>
    <row r="222" spans="1:7" s="2201" customFormat="1" ht="14.25" customHeight="1">
      <c r="A222" s="2336" t="s">
        <v>302</v>
      </c>
      <c r="B222" s="2336" t="s">
        <v>2989</v>
      </c>
      <c r="C222" s="2994"/>
      <c r="D222" s="2994"/>
      <c r="E222" s="2994"/>
      <c r="F222" s="2994">
        <v>2040</v>
      </c>
      <c r="G222" s="2998"/>
    </row>
    <row r="223" spans="1:7" s="2201" customFormat="1" ht="14.25" customHeight="1">
      <c r="A223" s="2336" t="s">
        <v>302</v>
      </c>
      <c r="B223" s="2336" t="s">
        <v>2990</v>
      </c>
      <c r="C223" s="2994"/>
      <c r="D223" s="2994"/>
      <c r="E223" s="2994"/>
      <c r="F223" s="2994">
        <v>1930</v>
      </c>
      <c r="G223" s="2998"/>
    </row>
    <row r="224" spans="1:7" s="2201" customFormat="1" ht="14.25" customHeight="1">
      <c r="A224" s="2336" t="s">
        <v>302</v>
      </c>
      <c r="B224" s="2336" t="s">
        <v>2991</v>
      </c>
      <c r="C224" s="2994"/>
      <c r="D224" s="2994"/>
      <c r="E224" s="2994"/>
      <c r="F224" s="2994">
        <v>1930</v>
      </c>
      <c r="G224" s="2998"/>
    </row>
    <row r="225" spans="1:7" s="2201" customFormat="1" ht="14.25" customHeight="1">
      <c r="A225" s="2336" t="s">
        <v>302</v>
      </c>
      <c r="B225" s="2336" t="s">
        <v>2992</v>
      </c>
      <c r="C225" s="2994"/>
      <c r="D225" s="2994"/>
      <c r="E225" s="2994"/>
      <c r="F225" s="2994">
        <v>1930</v>
      </c>
      <c r="G225" s="2998"/>
    </row>
    <row r="226" spans="1:7" s="2201" customFormat="1" ht="14.25" customHeight="1">
      <c r="A226" s="2336" t="s">
        <v>302</v>
      </c>
      <c r="B226" s="2336" t="s">
        <v>2993</v>
      </c>
      <c r="C226" s="2994"/>
      <c r="D226" s="2994"/>
      <c r="E226" s="2994"/>
      <c r="F226" s="2994">
        <v>1700</v>
      </c>
      <c r="G226" s="2998"/>
    </row>
    <row r="227" spans="1:7" s="2201" customFormat="1" ht="14.25" customHeight="1">
      <c r="A227" s="2336" t="s">
        <v>302</v>
      </c>
      <c r="B227" s="2336" t="s">
        <v>2994</v>
      </c>
      <c r="C227" s="2994"/>
      <c r="D227" s="2994"/>
      <c r="E227" s="2994"/>
      <c r="F227" s="2994">
        <v>1520</v>
      </c>
      <c r="G227" s="2998"/>
    </row>
    <row r="228" spans="1:7" s="2201" customFormat="1" ht="14.25" customHeight="1">
      <c r="A228" s="2336" t="s">
        <v>302</v>
      </c>
      <c r="B228" s="2336" t="s">
        <v>2995</v>
      </c>
      <c r="C228" s="2994"/>
      <c r="D228" s="2994"/>
      <c r="E228" s="2994"/>
      <c r="F228" s="2994">
        <v>1520</v>
      </c>
      <c r="G228" s="2998"/>
    </row>
    <row r="229" spans="1:7" s="2201" customFormat="1" ht="14.25" customHeight="1">
      <c r="A229" s="2336" t="s">
        <v>302</v>
      </c>
      <c r="B229" s="2336" t="s">
        <v>2912</v>
      </c>
      <c r="C229" s="2994"/>
      <c r="D229" s="2994"/>
      <c r="E229" s="2994"/>
      <c r="F229" s="2994">
        <v>1520</v>
      </c>
      <c r="G229" s="2998"/>
    </row>
    <row r="230" spans="1:7" s="2201" customFormat="1" ht="14.25" customHeight="1">
      <c r="A230" s="2336" t="s">
        <v>302</v>
      </c>
      <c r="B230" s="2336" t="s">
        <v>2996</v>
      </c>
      <c r="C230" s="2994"/>
      <c r="D230" s="2994"/>
      <c r="E230" s="2994"/>
      <c r="F230" s="2994">
        <v>1820</v>
      </c>
      <c r="G230" s="2998"/>
    </row>
    <row r="231" spans="1:7" s="2201" customFormat="1" ht="14.25" customHeight="1">
      <c r="A231" s="2336" t="s">
        <v>302</v>
      </c>
      <c r="B231" s="2336" t="s">
        <v>2997</v>
      </c>
      <c r="C231" s="2994"/>
      <c r="D231" s="2994"/>
      <c r="E231" s="2994"/>
      <c r="F231" s="2994">
        <v>1760</v>
      </c>
      <c r="G231" s="2998"/>
    </row>
    <row r="232" spans="1:7" s="2201" customFormat="1" ht="14.25" customHeight="1">
      <c r="A232" s="2336" t="s">
        <v>302</v>
      </c>
      <c r="B232" s="2336" t="s">
        <v>2998</v>
      </c>
      <c r="C232" s="2994"/>
      <c r="D232" s="2994"/>
      <c r="E232" s="2994"/>
      <c r="F232" s="2994">
        <v>1840</v>
      </c>
      <c r="G232" s="2998"/>
    </row>
    <row r="233" spans="1:7" s="2201" customFormat="1" ht="14.25" customHeight="1" thickBot="1">
      <c r="A233" s="2348" t="s">
        <v>302</v>
      </c>
      <c r="B233" s="2343" t="s">
        <v>2929</v>
      </c>
      <c r="C233" s="2995"/>
      <c r="D233" s="2995"/>
      <c r="E233" s="2995"/>
      <c r="F233" s="2995">
        <v>1770</v>
      </c>
      <c r="G233" s="2999"/>
    </row>
    <row r="234" spans="1:7" s="2201" customFormat="1" ht="14.25" customHeight="1">
      <c r="A234" s="2341" t="s">
        <v>303</v>
      </c>
      <c r="B234" s="2332" t="s">
        <v>2999</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2770</v>
      </c>
      <c r="C238" s="2994">
        <v>6920</v>
      </c>
      <c r="D238" s="2994">
        <v>6890</v>
      </c>
      <c r="E238" s="2994">
        <v>8640</v>
      </c>
      <c r="F238" s="2994">
        <v>1310</v>
      </c>
      <c r="G238" s="2994">
        <v>4230</v>
      </c>
    </row>
    <row r="239" spans="1:7" s="2201" customFormat="1" ht="14.25" customHeight="1">
      <c r="A239" s="2336" t="s">
        <v>303</v>
      </c>
      <c r="B239" s="2336" t="s">
        <v>3000</v>
      </c>
      <c r="C239" s="2994">
        <v>6780</v>
      </c>
      <c r="D239" s="2994">
        <v>6750</v>
      </c>
      <c r="E239" s="2994">
        <v>8440</v>
      </c>
      <c r="F239" s="2994">
        <v>1160</v>
      </c>
      <c r="G239" s="2994">
        <v>4140</v>
      </c>
    </row>
    <row r="240" spans="1:7" s="2201" customFormat="1" ht="14.25" customHeight="1">
      <c r="A240" s="2336" t="s">
        <v>303</v>
      </c>
      <c r="B240" s="2336" t="s">
        <v>3001</v>
      </c>
      <c r="C240" s="2994">
        <v>5420</v>
      </c>
      <c r="D240" s="2994">
        <v>5380</v>
      </c>
      <c r="E240" s="2994">
        <v>6640</v>
      </c>
      <c r="F240" s="2994">
        <v>1020</v>
      </c>
      <c r="G240" s="2994">
        <v>3300</v>
      </c>
    </row>
    <row r="241" spans="1:7" s="2201" customFormat="1" ht="14.25" customHeight="1">
      <c r="A241" s="2336" t="s">
        <v>303</v>
      </c>
      <c r="B241" s="2336" t="s">
        <v>3002</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3003</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3004</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3005</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3006</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3007</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2832</v>
      </c>
      <c r="C258" s="2994">
        <v>6190</v>
      </c>
      <c r="D258" s="2994">
        <v>6160</v>
      </c>
      <c r="E258" s="2994">
        <v>7680</v>
      </c>
      <c r="F258" s="2994">
        <v>1170</v>
      </c>
      <c r="G258" s="2994">
        <v>3780</v>
      </c>
    </row>
    <row r="259" spans="1:7" s="2201" customFormat="1" ht="14.25" customHeight="1">
      <c r="A259" s="2336" t="s">
        <v>303</v>
      </c>
      <c r="B259" s="2336" t="s">
        <v>3008</v>
      </c>
      <c r="C259" s="2994">
        <v>7610</v>
      </c>
      <c r="D259" s="2994">
        <v>7570</v>
      </c>
      <c r="E259" s="2994">
        <v>9350</v>
      </c>
      <c r="F259" s="2994">
        <v>1350</v>
      </c>
      <c r="G259" s="2994">
        <v>4650</v>
      </c>
    </row>
    <row r="260" spans="1:7" s="2201" customFormat="1" ht="14.25" customHeight="1">
      <c r="A260" s="2336" t="s">
        <v>303</v>
      </c>
      <c r="B260" s="2336" t="s">
        <v>3009</v>
      </c>
      <c r="C260" s="2994">
        <v>6920</v>
      </c>
      <c r="D260" s="2994">
        <v>6880</v>
      </c>
      <c r="E260" s="2994">
        <v>8380</v>
      </c>
      <c r="F260" s="2994">
        <v>1160</v>
      </c>
      <c r="G260" s="2994">
        <v>4220</v>
      </c>
    </row>
    <row r="261" spans="1:7" s="2201" customFormat="1" ht="14.25" customHeight="1">
      <c r="A261" s="2336" t="s">
        <v>303</v>
      </c>
      <c r="B261" s="2336" t="s">
        <v>3010</v>
      </c>
      <c r="C261" s="2994">
        <v>6850</v>
      </c>
      <c r="D261" s="2994">
        <v>6810</v>
      </c>
      <c r="E261" s="2994">
        <v>8290</v>
      </c>
      <c r="F261" s="2994">
        <v>1130</v>
      </c>
      <c r="G261" s="2994">
        <v>4180</v>
      </c>
    </row>
    <row r="262" spans="1:7" s="2201" customFormat="1" ht="14.25" customHeight="1">
      <c r="A262" s="2336" t="s">
        <v>303</v>
      </c>
      <c r="B262" s="2336" t="s">
        <v>3011</v>
      </c>
      <c r="C262" s="2994">
        <v>5860</v>
      </c>
      <c r="D262" s="2994">
        <v>5820</v>
      </c>
      <c r="E262" s="2994">
        <v>7640</v>
      </c>
      <c r="F262" s="2994">
        <v>1070</v>
      </c>
      <c r="G262" s="2994">
        <v>3570</v>
      </c>
    </row>
    <row r="263" spans="1:7" s="2201" customFormat="1" ht="14.25" customHeight="1">
      <c r="A263" s="2336" t="s">
        <v>303</v>
      </c>
      <c r="B263" s="2336" t="s">
        <v>3012</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3013</v>
      </c>
      <c r="C265" s="2994"/>
      <c r="D265" s="2994"/>
      <c r="E265" s="2994"/>
      <c r="F265" s="2994">
        <v>1500</v>
      </c>
      <c r="G265" s="2994"/>
    </row>
    <row r="266" spans="1:7" s="2201" customFormat="1" ht="14.25" customHeight="1">
      <c r="A266" s="2336" t="s">
        <v>303</v>
      </c>
      <c r="B266" s="2336" t="s">
        <v>3014</v>
      </c>
      <c r="C266" s="2994"/>
      <c r="D266" s="2994"/>
      <c r="E266" s="2994"/>
      <c r="F266" s="2994">
        <v>1500</v>
      </c>
      <c r="G266" s="2994"/>
    </row>
    <row r="267" spans="1:7" s="2201" customFormat="1" ht="14.25" customHeight="1">
      <c r="A267" s="2336" t="s">
        <v>303</v>
      </c>
      <c r="B267" s="2336" t="s">
        <v>3015</v>
      </c>
      <c r="C267" s="2994"/>
      <c r="D267" s="2994"/>
      <c r="E267" s="2994"/>
      <c r="F267" s="2994">
        <v>1500</v>
      </c>
      <c r="G267" s="2994"/>
    </row>
    <row r="268" spans="1:7" s="2201" customFormat="1" ht="14.25" customHeight="1">
      <c r="A268" s="2336" t="s">
        <v>303</v>
      </c>
      <c r="B268" s="2336" t="s">
        <v>3016</v>
      </c>
      <c r="C268" s="2994"/>
      <c r="D268" s="2994"/>
      <c r="E268" s="2994"/>
      <c r="F268" s="2994">
        <v>1290</v>
      </c>
      <c r="G268" s="2994"/>
    </row>
    <row r="269" spans="1:7" s="2201" customFormat="1" ht="14.25" customHeight="1">
      <c r="A269" s="2336" t="s">
        <v>303</v>
      </c>
      <c r="B269" s="2336" t="s">
        <v>3017</v>
      </c>
      <c r="C269" s="2994"/>
      <c r="D269" s="2994"/>
      <c r="E269" s="2994"/>
      <c r="F269" s="2994">
        <v>1150</v>
      </c>
      <c r="G269" s="2994"/>
    </row>
    <row r="270" spans="1:7" s="2201" customFormat="1" ht="14.25" customHeight="1">
      <c r="A270" s="2336" t="s">
        <v>303</v>
      </c>
      <c r="B270" s="2336" t="s">
        <v>3018</v>
      </c>
      <c r="C270" s="2994"/>
      <c r="D270" s="2994"/>
      <c r="E270" s="2994"/>
      <c r="F270" s="2994">
        <v>1380</v>
      </c>
      <c r="G270" s="2994"/>
    </row>
    <row r="271" spans="1:7" s="2201" customFormat="1" ht="14.25" customHeight="1">
      <c r="A271" s="2336" t="s">
        <v>303</v>
      </c>
      <c r="B271" s="2336" t="s">
        <v>3019</v>
      </c>
      <c r="C271" s="2994"/>
      <c r="D271" s="2994"/>
      <c r="E271" s="2994"/>
      <c r="F271" s="2994">
        <v>1460</v>
      </c>
      <c r="G271" s="2994"/>
    </row>
    <row r="272" spans="1:7" s="2201" customFormat="1" ht="14.25" customHeight="1">
      <c r="A272" s="2336" t="s">
        <v>303</v>
      </c>
      <c r="B272" s="2336" t="s">
        <v>3020</v>
      </c>
      <c r="C272" s="2994"/>
      <c r="D272" s="2994"/>
      <c r="E272" s="2994"/>
      <c r="F272" s="2994">
        <v>1460</v>
      </c>
      <c r="G272" s="2994"/>
    </row>
    <row r="273" spans="1:7" s="2201" customFormat="1" ht="14.25" customHeight="1">
      <c r="A273" s="2336" t="s">
        <v>303</v>
      </c>
      <c r="B273" s="2336" t="s">
        <v>2913</v>
      </c>
      <c r="C273" s="2994"/>
      <c r="D273" s="2994"/>
      <c r="E273" s="2994"/>
      <c r="F273" s="2994">
        <v>1490</v>
      </c>
      <c r="G273" s="2994"/>
    </row>
    <row r="274" spans="1:7" s="2201" customFormat="1" ht="14.25" customHeight="1">
      <c r="A274" s="2336" t="s">
        <v>303</v>
      </c>
      <c r="B274" s="2336" t="s">
        <v>3021</v>
      </c>
      <c r="C274" s="2994"/>
      <c r="D274" s="2994"/>
      <c r="E274" s="2994"/>
      <c r="F274" s="2994">
        <v>1490</v>
      </c>
      <c r="G274" s="2994"/>
    </row>
    <row r="275" spans="1:7" s="2201" customFormat="1" ht="14.25" customHeight="1">
      <c r="A275" s="2336" t="s">
        <v>303</v>
      </c>
      <c r="B275" s="2336" t="s">
        <v>3022</v>
      </c>
      <c r="C275" s="2994"/>
      <c r="D275" s="2994"/>
      <c r="E275" s="2994"/>
      <c r="F275" s="2994">
        <v>1220</v>
      </c>
      <c r="G275" s="2994"/>
    </row>
    <row r="276" spans="1:7" s="2201" customFormat="1" ht="14.25" customHeight="1" thickBot="1">
      <c r="A276" s="2344" t="s">
        <v>303</v>
      </c>
      <c r="B276" s="2346" t="s">
        <v>3023</v>
      </c>
      <c r="C276" s="2996"/>
      <c r="D276" s="2996"/>
      <c r="E276" s="2996"/>
      <c r="F276" s="2996">
        <v>1380</v>
      </c>
      <c r="G276" s="2996"/>
    </row>
    <row r="277" spans="1:7" s="2201" customFormat="1" ht="14.25" customHeight="1">
      <c r="A277" s="2341" t="s">
        <v>304</v>
      </c>
      <c r="B277" s="2332" t="s">
        <v>3024</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3025</v>
      </c>
      <c r="C279" s="2994">
        <v>4760</v>
      </c>
      <c r="D279" s="2994">
        <v>4720</v>
      </c>
      <c r="E279" s="2994">
        <v>5540</v>
      </c>
      <c r="F279" s="2994">
        <v>810</v>
      </c>
      <c r="G279" s="2998">
        <v>2850</v>
      </c>
    </row>
    <row r="280" spans="1:7" s="2201" customFormat="1" ht="14.25" customHeight="1">
      <c r="A280" s="2336" t="s">
        <v>304</v>
      </c>
      <c r="B280" s="2336" t="s">
        <v>3026</v>
      </c>
      <c r="C280" s="2994">
        <v>4010</v>
      </c>
      <c r="D280" s="2994">
        <v>3950</v>
      </c>
      <c r="E280" s="2994">
        <v>4710</v>
      </c>
      <c r="F280" s="2994">
        <v>800</v>
      </c>
      <c r="G280" s="2998">
        <v>2390</v>
      </c>
    </row>
    <row r="281" spans="1:7" s="2201" customFormat="1" ht="14.25" customHeight="1">
      <c r="A281" s="2336" t="s">
        <v>304</v>
      </c>
      <c r="B281" s="2336" t="s">
        <v>3027</v>
      </c>
      <c r="C281" s="2994">
        <v>4480</v>
      </c>
      <c r="D281" s="2994">
        <v>4420</v>
      </c>
      <c r="E281" s="2994">
        <v>5230</v>
      </c>
      <c r="F281" s="2994">
        <v>870</v>
      </c>
      <c r="G281" s="2998">
        <v>2660</v>
      </c>
    </row>
    <row r="282" spans="1:7" s="2201" customFormat="1" ht="14.25" customHeight="1">
      <c r="A282" s="2336" t="s">
        <v>304</v>
      </c>
      <c r="B282" s="2336" t="s">
        <v>3028</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3029</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3030</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2805</v>
      </c>
      <c r="C293" s="2994">
        <v>5320</v>
      </c>
      <c r="D293" s="2994">
        <v>5270</v>
      </c>
      <c r="E293" s="2994">
        <v>6160</v>
      </c>
      <c r="F293" s="2994">
        <v>990</v>
      </c>
      <c r="G293" s="2998">
        <v>3170</v>
      </c>
    </row>
    <row r="294" spans="1:7" s="2201" customFormat="1" ht="14.25" customHeight="1">
      <c r="A294" s="2336" t="s">
        <v>304</v>
      </c>
      <c r="B294" s="2336" t="s">
        <v>3031</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2824</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3032</v>
      </c>
      <c r="C302" s="2994">
        <v>5520</v>
      </c>
      <c r="D302" s="2994">
        <v>5470</v>
      </c>
      <c r="E302" s="2994">
        <v>6410</v>
      </c>
      <c r="F302" s="2994">
        <v>950</v>
      </c>
      <c r="G302" s="2998">
        <v>3300</v>
      </c>
    </row>
    <row r="303" spans="1:7" s="2201" customFormat="1" ht="14.25" customHeight="1">
      <c r="A303" s="2336" t="s">
        <v>304</v>
      </c>
      <c r="B303" s="2336" t="s">
        <v>2844</v>
      </c>
      <c r="C303" s="2994">
        <v>5630</v>
      </c>
      <c r="D303" s="2994">
        <v>5590</v>
      </c>
      <c r="E303" s="2994">
        <v>6550</v>
      </c>
      <c r="F303" s="2994">
        <v>1010</v>
      </c>
      <c r="G303" s="2998">
        <v>3370</v>
      </c>
    </row>
    <row r="304" spans="1:7" s="2201" customFormat="1" ht="14.25" customHeight="1">
      <c r="A304" s="2336" t="s">
        <v>304</v>
      </c>
      <c r="B304" s="2336" t="s">
        <v>2851</v>
      </c>
      <c r="C304" s="2994">
        <v>5680</v>
      </c>
      <c r="D304" s="2994">
        <v>5620</v>
      </c>
      <c r="E304" s="2994">
        <v>6620</v>
      </c>
      <c r="F304" s="2994">
        <v>1050</v>
      </c>
      <c r="G304" s="2998">
        <v>3390</v>
      </c>
    </row>
    <row r="305" spans="1:7" s="2201" customFormat="1" ht="14.25" customHeight="1">
      <c r="A305" s="2336" t="s">
        <v>304</v>
      </c>
      <c r="B305" s="2336" t="s">
        <v>2857</v>
      </c>
      <c r="C305" s="2994">
        <v>5590</v>
      </c>
      <c r="D305" s="2994">
        <v>5530</v>
      </c>
      <c r="E305" s="2994">
        <v>6460</v>
      </c>
      <c r="F305" s="2994">
        <v>900</v>
      </c>
      <c r="G305" s="2998">
        <v>3340</v>
      </c>
    </row>
    <row r="306" spans="1:7" s="2201" customFormat="1" ht="14.25" customHeight="1">
      <c r="A306" s="2336" t="s">
        <v>304</v>
      </c>
      <c r="B306" s="2336" t="s">
        <v>3033</v>
      </c>
      <c r="C306" s="2994">
        <v>5560</v>
      </c>
      <c r="D306" s="2994">
        <v>5510</v>
      </c>
      <c r="E306" s="2994">
        <v>6440</v>
      </c>
      <c r="F306" s="2994">
        <v>900</v>
      </c>
      <c r="G306" s="2998">
        <v>3320</v>
      </c>
    </row>
    <row r="307" spans="1:7" s="2201" customFormat="1" ht="14.25" customHeight="1">
      <c r="A307" s="2336" t="s">
        <v>304</v>
      </c>
      <c r="B307" s="2336" t="s">
        <v>2869</v>
      </c>
      <c r="C307" s="2994">
        <v>5650</v>
      </c>
      <c r="D307" s="2994">
        <v>5600</v>
      </c>
      <c r="E307" s="2994">
        <v>6590</v>
      </c>
      <c r="F307" s="2994">
        <v>930</v>
      </c>
      <c r="G307" s="2998">
        <v>3380</v>
      </c>
    </row>
    <row r="308" spans="1:7" s="2201" customFormat="1" ht="14.25" customHeight="1">
      <c r="A308" s="2336" t="s">
        <v>304</v>
      </c>
      <c r="B308" s="2336" t="s">
        <v>3034</v>
      </c>
      <c r="C308" s="2994">
        <v>5620</v>
      </c>
      <c r="D308" s="2994">
        <v>5580</v>
      </c>
      <c r="E308" s="2994">
        <v>6540</v>
      </c>
      <c r="F308" s="2994">
        <v>910</v>
      </c>
      <c r="G308" s="2998">
        <v>3370</v>
      </c>
    </row>
    <row r="309" spans="1:7" s="2201" customFormat="1" ht="14.25" customHeight="1">
      <c r="A309" s="2336" t="s">
        <v>304</v>
      </c>
      <c r="B309" s="2336" t="s">
        <v>3035</v>
      </c>
      <c r="C309" s="2994">
        <v>5060</v>
      </c>
      <c r="D309" s="2994">
        <v>5020</v>
      </c>
      <c r="E309" s="2994">
        <v>6370</v>
      </c>
      <c r="F309" s="2994">
        <v>800</v>
      </c>
      <c r="G309" s="2998">
        <v>3020</v>
      </c>
    </row>
    <row r="310" spans="1:7" s="2201" customFormat="1" ht="14.25" customHeight="1">
      <c r="A310" s="2336" t="s">
        <v>304</v>
      </c>
      <c r="B310" s="2336" t="s">
        <v>2884</v>
      </c>
      <c r="C310" s="2994">
        <v>5150</v>
      </c>
      <c r="D310" s="2994">
        <v>5110</v>
      </c>
      <c r="E310" s="2994">
        <v>6500</v>
      </c>
      <c r="F310" s="2994">
        <v>880</v>
      </c>
      <c r="G310" s="2998">
        <v>3080</v>
      </c>
    </row>
    <row r="311" spans="1:7" s="2201" customFormat="1" ht="14.25" customHeight="1">
      <c r="A311" s="2336" t="s">
        <v>304</v>
      </c>
      <c r="B311" s="2336" t="s">
        <v>3036</v>
      </c>
      <c r="C311" s="2994">
        <v>4750</v>
      </c>
      <c r="D311" s="2994">
        <v>4710</v>
      </c>
      <c r="E311" s="2994">
        <v>5510</v>
      </c>
      <c r="F311" s="2994">
        <v>880</v>
      </c>
      <c r="G311" s="2998">
        <v>2840</v>
      </c>
    </row>
    <row r="312" spans="1:7" s="2201" customFormat="1" ht="14.25" customHeight="1">
      <c r="A312" s="2336" t="s">
        <v>304</v>
      </c>
      <c r="B312" s="2336" t="s">
        <v>2894</v>
      </c>
      <c r="C312" s="2994">
        <v>4690</v>
      </c>
      <c r="D312" s="2994">
        <v>4640</v>
      </c>
      <c r="E312" s="2994">
        <v>5420</v>
      </c>
      <c r="F312" s="2994">
        <v>800</v>
      </c>
      <c r="G312" s="2998">
        <v>2800</v>
      </c>
    </row>
    <row r="313" spans="1:7" s="2201" customFormat="1" ht="14.25" customHeight="1">
      <c r="A313" s="2336" t="s">
        <v>304</v>
      </c>
      <c r="B313" s="2336" t="s">
        <v>2899</v>
      </c>
      <c r="C313" s="2994">
        <v>4810</v>
      </c>
      <c r="D313" s="2994">
        <v>4760</v>
      </c>
      <c r="E313" s="2994">
        <v>5550</v>
      </c>
      <c r="F313" s="2994">
        <v>920</v>
      </c>
      <c r="G313" s="2998">
        <v>2870</v>
      </c>
    </row>
    <row r="314" spans="1:7" s="2201" customFormat="1" ht="14.25" customHeight="1">
      <c r="A314" s="2336" t="s">
        <v>304</v>
      </c>
      <c r="B314" s="2336" t="s">
        <v>3037</v>
      </c>
      <c r="C314" s="2994"/>
      <c r="D314" s="2994"/>
      <c r="E314" s="2994"/>
      <c r="F314" s="2994">
        <v>1020</v>
      </c>
      <c r="G314" s="2998"/>
    </row>
    <row r="315" spans="1:7" s="2201" customFormat="1" ht="14.25" customHeight="1">
      <c r="A315" s="2336" t="s">
        <v>304</v>
      </c>
      <c r="B315" s="2336" t="s">
        <v>3038</v>
      </c>
      <c r="C315" s="2994"/>
      <c r="D315" s="2994"/>
      <c r="E315" s="2994"/>
      <c r="F315" s="2994">
        <v>1050</v>
      </c>
      <c r="G315" s="2998"/>
    </row>
    <row r="316" spans="1:7" s="2201" customFormat="1" ht="14.25" customHeight="1">
      <c r="A316" s="2336" t="s">
        <v>304</v>
      </c>
      <c r="B316" s="2336" t="s">
        <v>2914</v>
      </c>
      <c r="C316" s="2994"/>
      <c r="D316" s="2994"/>
      <c r="E316" s="2994"/>
      <c r="F316" s="2994">
        <v>900</v>
      </c>
      <c r="G316" s="2998"/>
    </row>
    <row r="317" spans="1:7" s="2201" customFormat="1" ht="14.25" customHeight="1">
      <c r="A317" s="2336" t="s">
        <v>304</v>
      </c>
      <c r="B317" s="2336" t="s">
        <v>3039</v>
      </c>
      <c r="C317" s="2994"/>
      <c r="D317" s="2994"/>
      <c r="E317" s="2994"/>
      <c r="F317" s="2994">
        <v>920</v>
      </c>
      <c r="G317" s="2998"/>
    </row>
    <row r="318" spans="1:7" s="2201" customFormat="1" ht="14.25" customHeight="1">
      <c r="A318" s="2336" t="s">
        <v>304</v>
      </c>
      <c r="B318" s="2336" t="s">
        <v>3040</v>
      </c>
      <c r="C318" s="2994"/>
      <c r="D318" s="2994"/>
      <c r="E318" s="2994"/>
      <c r="F318" s="2994">
        <v>1080</v>
      </c>
      <c r="G318" s="2998"/>
    </row>
    <row r="319" spans="1:7" s="2201" customFormat="1" ht="14.25" customHeight="1">
      <c r="A319" s="2336" t="s">
        <v>304</v>
      </c>
      <c r="B319" s="2336" t="s">
        <v>2927</v>
      </c>
      <c r="C319" s="2994"/>
      <c r="D319" s="2994"/>
      <c r="E319" s="2994"/>
      <c r="F319" s="2994">
        <v>1020</v>
      </c>
      <c r="G319" s="2998"/>
    </row>
    <row r="320" spans="1:7" s="2201" customFormat="1" ht="14.25" customHeight="1">
      <c r="A320" s="2336" t="s">
        <v>304</v>
      </c>
      <c r="B320" s="2336" t="s">
        <v>2930</v>
      </c>
      <c r="C320" s="2994"/>
      <c r="D320" s="2994"/>
      <c r="E320" s="2994"/>
      <c r="F320" s="2994">
        <v>1050</v>
      </c>
      <c r="G320" s="2998"/>
    </row>
    <row r="321" spans="1:7" s="2201" customFormat="1" ht="14.25" customHeight="1">
      <c r="A321" s="2336" t="s">
        <v>304</v>
      </c>
      <c r="B321" s="2336" t="s">
        <v>2932</v>
      </c>
      <c r="C321" s="2994"/>
      <c r="D321" s="2994"/>
      <c r="E321" s="2994"/>
      <c r="F321" s="2994">
        <v>960</v>
      </c>
      <c r="G321" s="2998"/>
    </row>
    <row r="322" spans="1:7" s="2201" customFormat="1" ht="14.25" customHeight="1">
      <c r="A322" s="2336" t="s">
        <v>304</v>
      </c>
      <c r="B322" s="2336" t="s">
        <v>2934</v>
      </c>
      <c r="C322" s="2994"/>
      <c r="D322" s="2994"/>
      <c r="E322" s="2994"/>
      <c r="F322" s="2994">
        <v>960</v>
      </c>
      <c r="G322" s="2998"/>
    </row>
    <row r="323" spans="1:7" s="2201" customFormat="1" ht="14.25" customHeight="1">
      <c r="A323" s="2336" t="s">
        <v>304</v>
      </c>
      <c r="B323" s="2336" t="s">
        <v>2936</v>
      </c>
      <c r="C323" s="2994"/>
      <c r="D323" s="2994"/>
      <c r="E323" s="2994"/>
      <c r="F323" s="2994">
        <v>880</v>
      </c>
      <c r="G323" s="2998"/>
    </row>
    <row r="324" spans="1:7" s="2201" customFormat="1" ht="14.25" customHeight="1">
      <c r="A324" s="2336" t="s">
        <v>304</v>
      </c>
      <c r="B324" s="2336" t="s">
        <v>2938</v>
      </c>
      <c r="C324" s="2994"/>
      <c r="D324" s="2994"/>
      <c r="E324" s="2994"/>
      <c r="F324" s="2994">
        <v>930</v>
      </c>
      <c r="G324" s="2998"/>
    </row>
    <row r="325" spans="1:7" s="2201" customFormat="1" ht="14.25" customHeight="1">
      <c r="A325" s="2336" t="s">
        <v>304</v>
      </c>
      <c r="B325" s="2337" t="s">
        <v>2940</v>
      </c>
      <c r="C325" s="2994"/>
      <c r="D325" s="2994"/>
      <c r="E325" s="2994"/>
      <c r="F325" s="2994">
        <v>900</v>
      </c>
      <c r="G325" s="2998"/>
    </row>
    <row r="326" spans="1:7" s="2201" customFormat="1" ht="14.25" customHeight="1" thickBot="1">
      <c r="A326" s="2348" t="s">
        <v>304</v>
      </c>
      <c r="B326" s="2343" t="s">
        <v>2942</v>
      </c>
      <c r="C326" s="2995"/>
      <c r="D326" s="2995"/>
      <c r="E326" s="2995"/>
      <c r="F326" s="2995">
        <v>790</v>
      </c>
      <c r="G326" s="2999"/>
    </row>
    <row r="327" spans="1:7" s="2201" customFormat="1" ht="14.25" customHeight="1">
      <c r="A327" s="2341" t="s">
        <v>305</v>
      </c>
      <c r="B327" s="2332" t="s">
        <v>3041</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3042</v>
      </c>
      <c r="C329" s="2994">
        <v>2730</v>
      </c>
      <c r="D329" s="2994">
        <v>2690</v>
      </c>
      <c r="E329" s="2994">
        <v>3100</v>
      </c>
      <c r="F329" s="2994">
        <v>660</v>
      </c>
      <c r="G329" s="2994">
        <v>1610</v>
      </c>
    </row>
    <row r="330" spans="1:7" s="2201" customFormat="1" ht="14.25" customHeight="1">
      <c r="A330" s="2336" t="s">
        <v>305</v>
      </c>
      <c r="B330" s="2336" t="s">
        <v>3043</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2776</v>
      </c>
      <c r="C332" s="2994">
        <v>3520</v>
      </c>
      <c r="D332" s="2994">
        <v>3480</v>
      </c>
      <c r="E332" s="2994">
        <v>3830</v>
      </c>
      <c r="F332" s="2994">
        <v>720</v>
      </c>
      <c r="G332" s="2994">
        <v>2090</v>
      </c>
    </row>
    <row r="333" spans="1:7" s="2201" customFormat="1" ht="14.25" customHeight="1">
      <c r="A333" s="2336" t="s">
        <v>305</v>
      </c>
      <c r="B333" s="2336" t="s">
        <v>3044</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2786</v>
      </c>
      <c r="C336" s="2994">
        <v>3570</v>
      </c>
      <c r="D336" s="2994">
        <v>3530</v>
      </c>
      <c r="E336" s="2994">
        <v>3880</v>
      </c>
      <c r="F336" s="2994">
        <v>770</v>
      </c>
      <c r="G336" s="2994">
        <v>2110</v>
      </c>
    </row>
    <row r="337" spans="1:10" s="2201" customFormat="1" ht="14.25" customHeight="1">
      <c r="A337" s="2336" t="s">
        <v>305</v>
      </c>
      <c r="B337" s="2336" t="s">
        <v>3045</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3046</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3047</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2811</v>
      </c>
      <c r="C345" s="2994">
        <v>3190</v>
      </c>
      <c r="D345" s="2994">
        <v>3140</v>
      </c>
      <c r="E345" s="2994">
        <v>3450</v>
      </c>
      <c r="F345" s="2994">
        <v>720</v>
      </c>
      <c r="G345" s="2994">
        <v>1880</v>
      </c>
      <c r="J345" s="2201"/>
    </row>
    <row r="346" spans="1:10">
      <c r="A346" s="2336" t="s">
        <v>305</v>
      </c>
      <c r="B346" s="2336" t="s">
        <v>3048</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2820</v>
      </c>
      <c r="C348" s="2994">
        <v>4000</v>
      </c>
      <c r="D348" s="2994">
        <v>3950</v>
      </c>
      <c r="E348" s="2994">
        <v>4430</v>
      </c>
      <c r="F348" s="2994">
        <v>760</v>
      </c>
      <c r="G348" s="2994">
        <v>2360</v>
      </c>
      <c r="J348" s="2201"/>
    </row>
    <row r="349" spans="1:10">
      <c r="A349" s="2336" t="s">
        <v>305</v>
      </c>
      <c r="B349" s="2336" t="s">
        <v>2825</v>
      </c>
      <c r="C349" s="2994">
        <v>3820</v>
      </c>
      <c r="D349" s="2994">
        <v>3780</v>
      </c>
      <c r="E349" s="2994">
        <v>4170</v>
      </c>
      <c r="F349" s="2994">
        <v>710</v>
      </c>
      <c r="G349" s="2994">
        <v>2260</v>
      </c>
      <c r="J349" s="2201"/>
    </row>
    <row r="350" spans="1:10">
      <c r="A350" s="2336" t="s">
        <v>305</v>
      </c>
      <c r="B350" s="2336" t="s">
        <v>3049</v>
      </c>
      <c r="C350" s="2994">
        <v>3760</v>
      </c>
      <c r="D350" s="2994">
        <v>3730</v>
      </c>
      <c r="E350" s="2994">
        <v>4100</v>
      </c>
      <c r="F350" s="2994">
        <v>800</v>
      </c>
      <c r="G350" s="2994">
        <v>2230</v>
      </c>
      <c r="J350" s="2201"/>
    </row>
    <row r="351" spans="1:10">
      <c r="A351" s="2336" t="s">
        <v>305</v>
      </c>
      <c r="B351" s="2336" t="s">
        <v>2833</v>
      </c>
      <c r="C351" s="2994">
        <v>3610</v>
      </c>
      <c r="D351" s="2994">
        <v>3580</v>
      </c>
      <c r="E351" s="2994">
        <v>3930</v>
      </c>
      <c r="F351" s="2994">
        <v>700</v>
      </c>
      <c r="G351" s="2994">
        <v>2140</v>
      </c>
      <c r="J351" s="2201"/>
    </row>
    <row r="352" spans="1:10">
      <c r="A352" s="2336" t="s">
        <v>305</v>
      </c>
      <c r="B352" s="2336" t="s">
        <v>2838</v>
      </c>
      <c r="C352" s="2994">
        <v>3670</v>
      </c>
      <c r="D352" s="2994">
        <v>3630</v>
      </c>
      <c r="E352" s="2994">
        <v>4000</v>
      </c>
      <c r="F352" s="2994">
        <v>750</v>
      </c>
      <c r="G352" s="2994">
        <v>2180</v>
      </c>
    </row>
    <row r="353" spans="1:7" s="2202" customFormat="1">
      <c r="A353" s="2336" t="s">
        <v>305</v>
      </c>
      <c r="B353" s="2336" t="s">
        <v>3050</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2858</v>
      </c>
      <c r="C355" s="2994">
        <v>3650</v>
      </c>
      <c r="D355" s="2994">
        <v>3610</v>
      </c>
      <c r="E355" s="2994">
        <v>4200</v>
      </c>
      <c r="F355" s="2994">
        <v>640</v>
      </c>
      <c r="G355" s="2994">
        <v>2160</v>
      </c>
    </row>
    <row r="356" spans="1:7" s="2202" customFormat="1">
      <c r="A356" s="2336" t="s">
        <v>305</v>
      </c>
      <c r="B356" s="2336" t="s">
        <v>2865</v>
      </c>
      <c r="C356" s="2994">
        <v>3260</v>
      </c>
      <c r="D356" s="2994">
        <v>3230</v>
      </c>
      <c r="E356" s="2994">
        <v>3740</v>
      </c>
      <c r="F356" s="2994">
        <v>600</v>
      </c>
      <c r="G356" s="2994">
        <v>1930</v>
      </c>
    </row>
    <row r="357" spans="1:7" s="2202" customFormat="1" ht="12.5" thickBot="1">
      <c r="A357" s="2344" t="s">
        <v>305</v>
      </c>
      <c r="B357" s="2347" t="s">
        <v>3051</v>
      </c>
      <c r="C357" s="2996">
        <v>3690</v>
      </c>
      <c r="D357" s="2996">
        <v>3650</v>
      </c>
      <c r="E357" s="2996">
        <v>4020</v>
      </c>
      <c r="F357" s="2996">
        <v>700</v>
      </c>
      <c r="G357" s="2996">
        <v>2190</v>
      </c>
    </row>
    <row r="358" spans="1:7" s="2202" customFormat="1">
      <c r="A358" s="2341" t="s">
        <v>3052</v>
      </c>
      <c r="B358" s="2332" t="s">
        <v>3053</v>
      </c>
      <c r="C358" s="2993">
        <v>2080</v>
      </c>
      <c r="D358" s="2993">
        <v>2040</v>
      </c>
      <c r="E358" s="2993">
        <v>2010</v>
      </c>
      <c r="F358" s="2993">
        <v>530</v>
      </c>
      <c r="G358" s="2997">
        <v>1230</v>
      </c>
    </row>
    <row r="359" spans="1:7" s="2202" customFormat="1">
      <c r="A359" s="2336" t="s">
        <v>3052</v>
      </c>
      <c r="B359" s="2336" t="s">
        <v>3054</v>
      </c>
      <c r="C359" s="2994">
        <v>1850</v>
      </c>
      <c r="D359" s="2994">
        <v>1820</v>
      </c>
      <c r="E359" s="2994">
        <v>1780</v>
      </c>
      <c r="F359" s="2994">
        <v>520</v>
      </c>
      <c r="G359" s="2998">
        <v>1100</v>
      </c>
    </row>
    <row r="360" spans="1:7" s="2202" customFormat="1">
      <c r="A360" s="2336" t="s">
        <v>3052</v>
      </c>
      <c r="B360" s="2336" t="s">
        <v>3055</v>
      </c>
      <c r="C360" s="2994">
        <v>2020</v>
      </c>
      <c r="D360" s="2994">
        <v>1990</v>
      </c>
      <c r="E360" s="2994">
        <v>1950</v>
      </c>
      <c r="F360" s="2994">
        <v>500</v>
      </c>
      <c r="G360" s="2998">
        <v>1200</v>
      </c>
    </row>
    <row r="361" spans="1:7" s="2202" customFormat="1">
      <c r="A361" s="2336" t="s">
        <v>3052</v>
      </c>
      <c r="B361" s="2336" t="s">
        <v>151</v>
      </c>
      <c r="C361" s="2994">
        <v>2260</v>
      </c>
      <c r="D361" s="2994">
        <v>2220</v>
      </c>
      <c r="E361" s="2994">
        <v>2180</v>
      </c>
      <c r="F361" s="2994">
        <v>580</v>
      </c>
      <c r="G361" s="2998">
        <v>1340</v>
      </c>
    </row>
    <row r="362" spans="1:7" s="2202" customFormat="1">
      <c r="A362" s="2336" t="s">
        <v>3052</v>
      </c>
      <c r="B362" s="2336" t="s">
        <v>3056</v>
      </c>
      <c r="C362" s="2994">
        <v>2650</v>
      </c>
      <c r="D362" s="2994">
        <v>2610</v>
      </c>
      <c r="E362" s="2994">
        <v>2570</v>
      </c>
      <c r="F362" s="2994">
        <v>630</v>
      </c>
      <c r="G362" s="2998">
        <v>1570</v>
      </c>
    </row>
    <row r="363" spans="1:7" s="2202" customFormat="1">
      <c r="A363" s="2336" t="s">
        <v>3052</v>
      </c>
      <c r="B363" s="2336" t="s">
        <v>2777</v>
      </c>
      <c r="C363" s="2994">
        <v>2390</v>
      </c>
      <c r="D363" s="2994">
        <v>2360</v>
      </c>
      <c r="E363" s="2994">
        <v>2320</v>
      </c>
      <c r="F363" s="2994">
        <v>600</v>
      </c>
      <c r="G363" s="2998">
        <v>1420</v>
      </c>
    </row>
    <row r="364" spans="1:7" s="2202" customFormat="1">
      <c r="A364" s="2336" t="s">
        <v>3052</v>
      </c>
      <c r="B364" s="2336" t="s">
        <v>3057</v>
      </c>
      <c r="C364" s="2994">
        <v>2050</v>
      </c>
      <c r="D364" s="2994">
        <v>2030</v>
      </c>
      <c r="E364" s="2994">
        <v>1990</v>
      </c>
      <c r="F364" s="2994">
        <v>550</v>
      </c>
      <c r="G364" s="2998">
        <v>1220</v>
      </c>
    </row>
    <row r="365" spans="1:7" s="2202" customFormat="1">
      <c r="A365" s="2336" t="s">
        <v>3052</v>
      </c>
      <c r="B365" s="2336" t="s">
        <v>198</v>
      </c>
      <c r="C365" s="2994">
        <v>2140</v>
      </c>
      <c r="D365" s="2994">
        <v>2100</v>
      </c>
      <c r="E365" s="2994">
        <v>2060</v>
      </c>
      <c r="F365" s="2994">
        <v>540</v>
      </c>
      <c r="G365" s="2998">
        <v>1270</v>
      </c>
    </row>
    <row r="366" spans="1:7" s="2202" customFormat="1">
      <c r="A366" s="2336" t="s">
        <v>3052</v>
      </c>
      <c r="B366" s="2336" t="s">
        <v>2784</v>
      </c>
      <c r="C366" s="2994">
        <v>2410</v>
      </c>
      <c r="D366" s="2994">
        <v>2370</v>
      </c>
      <c r="E366" s="2994">
        <v>2330</v>
      </c>
      <c r="F366" s="2994">
        <v>570</v>
      </c>
      <c r="G366" s="2998">
        <v>1440</v>
      </c>
    </row>
    <row r="367" spans="1:7" s="2202" customFormat="1">
      <c r="A367" s="2336" t="s">
        <v>3052</v>
      </c>
      <c r="B367" s="2336" t="s">
        <v>3058</v>
      </c>
      <c r="C367" s="2994">
        <v>2300</v>
      </c>
      <c r="D367" s="2994">
        <v>2260</v>
      </c>
      <c r="E367" s="2994">
        <v>2220</v>
      </c>
      <c r="F367" s="2994">
        <v>560</v>
      </c>
      <c r="G367" s="2998">
        <v>1370</v>
      </c>
    </row>
    <row r="368" spans="1:7" s="2202" customFormat="1">
      <c r="A368" s="2336" t="s">
        <v>3052</v>
      </c>
      <c r="B368" s="2336" t="s">
        <v>3059</v>
      </c>
      <c r="C368" s="2994">
        <v>2430</v>
      </c>
      <c r="D368" s="2994">
        <v>2390</v>
      </c>
      <c r="E368" s="2994">
        <v>2350</v>
      </c>
      <c r="F368" s="2994">
        <v>570</v>
      </c>
      <c r="G368" s="2998">
        <v>1450</v>
      </c>
    </row>
    <row r="369" spans="1:7" s="2202" customFormat="1">
      <c r="A369" s="2336" t="s">
        <v>3052</v>
      </c>
      <c r="B369" s="2336" t="s">
        <v>212</v>
      </c>
      <c r="C369" s="2994">
        <v>2320</v>
      </c>
      <c r="D369" s="2994">
        <v>2290</v>
      </c>
      <c r="E369" s="2994">
        <v>2250</v>
      </c>
      <c r="F369" s="2994">
        <v>550</v>
      </c>
      <c r="G369" s="2998">
        <v>1380</v>
      </c>
    </row>
    <row r="370" spans="1:7" s="2202" customFormat="1">
      <c r="A370" s="2336" t="s">
        <v>3052</v>
      </c>
      <c r="B370" s="2336" t="s">
        <v>219</v>
      </c>
      <c r="C370" s="2994">
        <v>2190</v>
      </c>
      <c r="D370" s="2994">
        <v>2170</v>
      </c>
      <c r="E370" s="2994">
        <v>2130</v>
      </c>
      <c r="F370" s="2994">
        <v>530</v>
      </c>
      <c r="G370" s="2998">
        <v>1310</v>
      </c>
    </row>
    <row r="371" spans="1:7" s="2202" customFormat="1">
      <c r="A371" s="2336" t="s">
        <v>3052</v>
      </c>
      <c r="B371" s="2336" t="s">
        <v>227</v>
      </c>
      <c r="C371" s="2994">
        <v>2460</v>
      </c>
      <c r="D371" s="2994">
        <v>2420</v>
      </c>
      <c r="E371" s="2994">
        <v>2370</v>
      </c>
      <c r="F371" s="2994">
        <v>560</v>
      </c>
      <c r="G371" s="2998">
        <v>1470</v>
      </c>
    </row>
    <row r="372" spans="1:7" s="2202" customFormat="1">
      <c r="A372" s="2336" t="s">
        <v>3052</v>
      </c>
      <c r="B372" s="2336" t="s">
        <v>3060</v>
      </c>
      <c r="C372" s="2994">
        <v>2250</v>
      </c>
      <c r="D372" s="2994">
        <v>2210</v>
      </c>
      <c r="E372" s="2994">
        <v>2180</v>
      </c>
      <c r="F372" s="2994">
        <v>550</v>
      </c>
      <c r="G372" s="2998">
        <v>1340</v>
      </c>
    </row>
    <row r="373" spans="1:7" s="2202" customFormat="1">
      <c r="A373" s="2336" t="s">
        <v>3052</v>
      </c>
      <c r="B373" s="2336" t="s">
        <v>256</v>
      </c>
      <c r="C373" s="2994">
        <v>2210</v>
      </c>
      <c r="D373" s="2994">
        <v>2190</v>
      </c>
      <c r="E373" s="2994">
        <v>2150</v>
      </c>
      <c r="F373" s="2994">
        <v>530</v>
      </c>
      <c r="G373" s="2998">
        <v>1320</v>
      </c>
    </row>
    <row r="374" spans="1:7" s="2202" customFormat="1">
      <c r="A374" s="2336" t="s">
        <v>3052</v>
      </c>
      <c r="B374" s="2336" t="s">
        <v>264</v>
      </c>
      <c r="C374" s="2994">
        <v>2320</v>
      </c>
      <c r="D374" s="2994">
        <v>2280</v>
      </c>
      <c r="E374" s="2994">
        <v>2230</v>
      </c>
      <c r="F374" s="2994">
        <v>580</v>
      </c>
      <c r="G374" s="2998">
        <v>1380</v>
      </c>
    </row>
    <row r="375" spans="1:7" s="2202" customFormat="1">
      <c r="A375" s="2336" t="s">
        <v>3052</v>
      </c>
      <c r="B375" s="2336" t="s">
        <v>3061</v>
      </c>
      <c r="C375" s="2994">
        <v>2090</v>
      </c>
      <c r="D375" s="2994">
        <v>2050</v>
      </c>
      <c r="E375" s="2994">
        <v>2020</v>
      </c>
      <c r="F375" s="2994">
        <v>520</v>
      </c>
      <c r="G375" s="2998">
        <v>1240</v>
      </c>
    </row>
    <row r="376" spans="1:7" s="2202" customFormat="1">
      <c r="A376" s="2336" t="s">
        <v>3052</v>
      </c>
      <c r="B376" s="2336" t="s">
        <v>275</v>
      </c>
      <c r="C376" s="2994">
        <v>2010</v>
      </c>
      <c r="D376" s="2994">
        <v>1980</v>
      </c>
      <c r="E376" s="2994">
        <v>1940</v>
      </c>
      <c r="F376" s="2994">
        <v>540</v>
      </c>
      <c r="G376" s="2998">
        <v>1190</v>
      </c>
    </row>
    <row r="377" spans="1:7" s="2202" customFormat="1" ht="12.5" thickBot="1">
      <c r="A377" s="2344" t="s">
        <v>3052</v>
      </c>
      <c r="B377" s="2347" t="s">
        <v>2814</v>
      </c>
      <c r="C377" s="2996">
        <v>1930</v>
      </c>
      <c r="D377" s="2996">
        <v>1890</v>
      </c>
      <c r="E377" s="2996">
        <v>1860</v>
      </c>
      <c r="F377" s="2996">
        <v>530</v>
      </c>
      <c r="G377" s="3000">
        <v>1150</v>
      </c>
    </row>
    <row r="378" spans="1:7" s="2202" customFormat="1">
      <c r="A378" s="2349" t="s">
        <v>3062</v>
      </c>
      <c r="B378" s="2332" t="s">
        <v>3063</v>
      </c>
      <c r="C378" s="2993">
        <v>1520</v>
      </c>
      <c r="D378" s="2993">
        <v>1490</v>
      </c>
      <c r="E378" s="2993">
        <v>1460</v>
      </c>
      <c r="F378" s="2993">
        <v>460</v>
      </c>
      <c r="G378" s="2997">
        <v>940</v>
      </c>
    </row>
    <row r="379" spans="1:7" s="2202" customFormat="1">
      <c r="A379" s="2350" t="s">
        <v>3062</v>
      </c>
      <c r="B379" s="2336" t="s">
        <v>3064</v>
      </c>
      <c r="C379" s="2994">
        <v>1500</v>
      </c>
      <c r="D379" s="2994">
        <v>1470</v>
      </c>
      <c r="E379" s="2994">
        <v>1430</v>
      </c>
      <c r="F379" s="2994">
        <v>460</v>
      </c>
      <c r="G379" s="2998">
        <v>920</v>
      </c>
    </row>
    <row r="380" spans="1:7" s="2202" customFormat="1">
      <c r="A380" s="2350" t="s">
        <v>3062</v>
      </c>
      <c r="B380" s="2336" t="s">
        <v>3065</v>
      </c>
      <c r="C380" s="2994">
        <v>1620</v>
      </c>
      <c r="D380" s="2994">
        <v>1590</v>
      </c>
      <c r="E380" s="2994">
        <v>1560</v>
      </c>
      <c r="F380" s="2994">
        <v>480</v>
      </c>
      <c r="G380" s="2998">
        <v>1000</v>
      </c>
    </row>
    <row r="381" spans="1:7" s="2202" customFormat="1">
      <c r="A381" s="2350" t="s">
        <v>3062</v>
      </c>
      <c r="B381" s="2336" t="s">
        <v>3066</v>
      </c>
      <c r="C381" s="2994">
        <v>1460</v>
      </c>
      <c r="D381" s="2994">
        <v>1430</v>
      </c>
      <c r="E381" s="2994">
        <v>1390</v>
      </c>
      <c r="F381" s="2994">
        <v>450</v>
      </c>
      <c r="G381" s="2998">
        <v>900</v>
      </c>
    </row>
    <row r="382" spans="1:7" s="2202" customFormat="1">
      <c r="A382" s="2350" t="s">
        <v>3062</v>
      </c>
      <c r="B382" s="2336" t="s">
        <v>3067</v>
      </c>
      <c r="C382" s="2994">
        <v>1310</v>
      </c>
      <c r="D382" s="2994">
        <v>1280</v>
      </c>
      <c r="E382" s="2994">
        <v>1250</v>
      </c>
      <c r="F382" s="2994">
        <v>440</v>
      </c>
      <c r="G382" s="2998">
        <v>800</v>
      </c>
    </row>
    <row r="383" spans="1:7" s="2202" customFormat="1">
      <c r="A383" s="2350" t="s">
        <v>3062</v>
      </c>
      <c r="B383" s="2336" t="s">
        <v>3068</v>
      </c>
      <c r="C383" s="2994">
        <v>1260</v>
      </c>
      <c r="D383" s="2994">
        <v>1230</v>
      </c>
      <c r="E383" s="2994">
        <v>1200</v>
      </c>
      <c r="F383" s="2994">
        <v>420</v>
      </c>
      <c r="G383" s="2998">
        <v>770</v>
      </c>
    </row>
    <row r="384" spans="1:7" s="2202" customFormat="1" ht="12.5" thickBot="1">
      <c r="A384" s="2351" t="s">
        <v>3062</v>
      </c>
      <c r="B384" s="2343" t="s">
        <v>3069</v>
      </c>
      <c r="C384" s="2995">
        <v>1170</v>
      </c>
      <c r="D384" s="2995">
        <v>1140</v>
      </c>
      <c r="E384" s="2995">
        <v>1120</v>
      </c>
      <c r="F384" s="2995">
        <v>400</v>
      </c>
      <c r="G384" s="299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46090</v>
      </c>
      <c r="D1" s="874" t="s">
        <v>597</v>
      </c>
      <c r="E1" s="3001">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6.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5">
      <c r="B27" s="859" t="s">
        <v>2204</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315" t="s">
        <v>933</v>
      </c>
      <c r="B1" s="4315"/>
      <c r="C1" s="4315"/>
      <c r="D1" s="4315"/>
    </row>
    <row r="2" spans="1:4" ht="18">
      <c r="A2" s="4316" t="s">
        <v>917</v>
      </c>
      <c r="B2" s="4316"/>
      <c r="C2" s="4316"/>
      <c r="D2" s="4316"/>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16" t="s">
        <v>923</v>
      </c>
      <c r="B6" s="4316"/>
      <c r="C6" s="4316"/>
      <c r="D6" s="4316"/>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317" t="s">
        <v>926</v>
      </c>
      <c r="B11" s="4309"/>
      <c r="C11" s="4309"/>
      <c r="D11" s="4309"/>
    </row>
    <row r="12" spans="1:4" ht="15.5">
      <c r="A12" s="43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4"/>
      <c r="C12" s="4314"/>
      <c r="D12" s="4314"/>
    </row>
    <row r="13" spans="1:4" ht="30" customHeight="1">
      <c r="A13" s="43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4"/>
      <c r="C13" s="4314"/>
      <c r="D13" s="4314"/>
    </row>
    <row r="14" spans="1:4" ht="15.75" customHeight="1">
      <c r="A14" s="4309" t="str">
        <f>IF(项目基本情况!B8="抵押","4.本次评估估价师所知悉的法定优先受偿款情况说明如下：","——")</f>
        <v>4.本次评估估价师所知悉的法定优先受偿款情况说明如下：</v>
      </c>
      <c r="B14" s="4314"/>
      <c r="C14" s="4314"/>
      <c r="D14" s="4314"/>
    </row>
    <row r="15" spans="1:4" ht="42" customHeight="1">
      <c r="A15" s="43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9"/>
      <c r="C15" s="4309"/>
      <c r="D15" s="4309"/>
    </row>
    <row r="16" spans="1:4" ht="30" customHeight="1">
      <c r="A16" s="4311" t="s">
        <v>927</v>
      </c>
      <c r="B16" s="4311"/>
      <c r="C16" s="4311"/>
      <c r="D16" s="4311"/>
    </row>
    <row r="17" spans="1:4" ht="144" customHeight="1">
      <c r="A17" s="4311" t="s">
        <v>928</v>
      </c>
      <c r="B17" s="4311"/>
      <c r="C17" s="4311"/>
      <c r="D17" s="4311"/>
    </row>
    <row r="18" spans="1:4" ht="15.75" customHeight="1">
      <c r="A18" s="4309" t="str">
        <f>IF(项目基本情况!B8="抵押",结果表!K120,"——")</f>
        <v>故，本次评估不存在估价师知悉的法定优先受偿款</v>
      </c>
      <c r="B18" s="4309"/>
      <c r="C18" s="4309"/>
      <c r="D18" s="4309"/>
    </row>
    <row r="19" spans="1:4" ht="46.5" customHeight="1">
      <c r="A19" s="43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9"/>
      <c r="C19" s="4309"/>
      <c r="D19" s="4309"/>
    </row>
    <row r="20" spans="1:4" ht="57.75" customHeight="1">
      <c r="A20" s="43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9"/>
      <c r="C20" s="4309"/>
      <c r="D20" s="4309"/>
    </row>
    <row r="21" spans="1:4" ht="57.75" customHeight="1">
      <c r="A21" s="43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12"/>
      <c r="C21" s="4312"/>
      <c r="D21" s="4312"/>
    </row>
    <row r="22" spans="1:4" ht="18.75" customHeight="1">
      <c r="A22" s="4313" t="s">
        <v>929</v>
      </c>
      <c r="B22" s="4313"/>
      <c r="C22" s="4313"/>
      <c r="D22" s="4313"/>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310">
        <v>42551</v>
      </c>
      <c r="D31" s="431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323" t="s">
        <v>940</v>
      </c>
      <c r="B15" s="4318" t="s">
        <v>107</v>
      </c>
      <c r="C15" s="4319"/>
    </row>
    <row r="16" spans="1:7" ht="14">
      <c r="A16" s="4324"/>
      <c r="B16" s="4318" t="s">
        <v>40</v>
      </c>
      <c r="C16" s="4319"/>
    </row>
    <row r="17" spans="1:3" ht="14">
      <c r="A17" s="4324"/>
      <c r="B17" s="4321" t="s">
        <v>941</v>
      </c>
      <c r="C17" s="1073" t="s">
        <v>940</v>
      </c>
    </row>
    <row r="18" spans="1:3" ht="14">
      <c r="A18" s="4324"/>
      <c r="B18" s="4321"/>
      <c r="C18" s="1073" t="s">
        <v>942</v>
      </c>
    </row>
    <row r="19" spans="1:3" ht="14">
      <c r="A19" s="4324"/>
      <c r="B19" s="4321"/>
      <c r="C19" s="1073" t="s">
        <v>943</v>
      </c>
    </row>
    <row r="20" spans="1:3" ht="14">
      <c r="A20" s="4325"/>
      <c r="B20" s="4320" t="s">
        <v>944</v>
      </c>
      <c r="C20" s="4319"/>
    </row>
    <row r="21" spans="1:3" ht="14">
      <c r="A21" s="1074" t="s">
        <v>945</v>
      </c>
      <c r="B21" s="1075"/>
      <c r="C21" s="1076"/>
    </row>
    <row r="22" spans="1:3" ht="14">
      <c r="A22" s="4322" t="s">
        <v>946</v>
      </c>
      <c r="B22" s="4320" t="s">
        <v>947</v>
      </c>
      <c r="C22" s="4319"/>
    </row>
    <row r="23" spans="1:3" ht="14">
      <c r="A23" s="4322"/>
      <c r="B23" s="4320" t="s">
        <v>948</v>
      </c>
      <c r="C23" s="4319"/>
    </row>
    <row r="24" spans="1:3" ht="14">
      <c r="A24" s="4322"/>
      <c r="B24" s="4320" t="s">
        <v>949</v>
      </c>
      <c r="C24" s="4319"/>
    </row>
    <row r="25" spans="1:3" ht="14">
      <c r="A25" s="4322"/>
      <c r="B25" s="4321" t="s">
        <v>950</v>
      </c>
      <c r="C25" s="1073" t="s">
        <v>951</v>
      </c>
    </row>
    <row r="26" spans="1:3" ht="14">
      <c r="A26" s="4322"/>
      <c r="B26" s="4321"/>
      <c r="C26" s="1073" t="s">
        <v>952</v>
      </c>
    </row>
    <row r="27" spans="1:3" ht="14">
      <c r="A27" s="4322"/>
      <c r="B27" s="4321"/>
      <c r="C27" s="1073" t="s">
        <v>953</v>
      </c>
    </row>
    <row r="28" spans="1:3" ht="14">
      <c r="A28" s="4322"/>
      <c r="B28" s="4321"/>
      <c r="C28" s="1073" t="s">
        <v>954</v>
      </c>
    </row>
    <row r="29" spans="1:3" ht="14">
      <c r="A29" s="4322"/>
      <c r="B29" s="4321"/>
      <c r="C29" s="1073" t="s">
        <v>955</v>
      </c>
    </row>
    <row r="30" spans="1:3" ht="14">
      <c r="A30" s="4322"/>
      <c r="B30" s="4321"/>
      <c r="C30" s="1073" t="s">
        <v>956</v>
      </c>
    </row>
    <row r="31" spans="1:3" ht="14">
      <c r="A31" s="4322"/>
      <c r="B31" s="4321"/>
      <c r="C31" s="1073" t="s">
        <v>957</v>
      </c>
    </row>
    <row r="32" spans="1:3" ht="14">
      <c r="A32" s="4322"/>
      <c r="B32" s="4321"/>
      <c r="C32" s="1073" t="s">
        <v>958</v>
      </c>
    </row>
    <row r="33" spans="1:3" ht="14">
      <c r="A33" s="4322"/>
      <c r="B33" s="4321"/>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46090</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2326</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3976</v>
      </c>
      <c r="B16" s="876">
        <v>1120240051</v>
      </c>
      <c r="C16" s="876"/>
      <c r="D16" s="1709" t="str">
        <f>A16&amp;"（注册号："&amp;B16&amp;"）"</f>
        <v>赵雯（注册号：1120240051）</v>
      </c>
      <c r="E16" s="1710"/>
      <c r="F16" s="876"/>
      <c r="G16" s="876"/>
      <c r="H16" s="1713" t="str">
        <f t="shared" si="1"/>
        <v>（注册号：）</v>
      </c>
    </row>
    <row r="17" spans="1:8" ht="24" customHeight="1">
      <c r="A17" s="4326" t="s">
        <v>2064</v>
      </c>
      <c r="B17" s="4326"/>
      <c r="C17" s="4326"/>
      <c r="D17" s="4326"/>
      <c r="E17" s="4326"/>
      <c r="F17" s="4326"/>
      <c r="G17" s="4326"/>
      <c r="H17" s="4326"/>
    </row>
    <row r="18" spans="1:8" ht="24" customHeight="1">
      <c r="A18" s="4327" t="s">
        <v>2065</v>
      </c>
      <c r="B18" s="4327"/>
      <c r="C18" s="4327"/>
      <c r="D18" s="1707"/>
      <c r="E18" s="4328" t="s">
        <v>2066</v>
      </c>
      <c r="F18" s="4327"/>
      <c r="G18" s="4327"/>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收益法</vt:lpstr>
      <vt:lpstr>信息</vt:lpstr>
      <vt:lpstr>2026年2月富华大厦租赁台账</vt:lpstr>
      <vt:lpstr>比较法-工业</vt:lpstr>
      <vt:lpstr>比较法-车位</vt:lpstr>
      <vt:lpstr>比较法-仓储</vt:lpstr>
      <vt:lpstr>土地比较法-住宅、综合</vt:lpstr>
      <vt:lpstr>土地比较法-工业</vt:lpstr>
      <vt:lpstr>假设开发法</vt:lpstr>
      <vt:lpstr>基准地价（汇总）</vt:lpstr>
      <vt:lpstr>富华大厦租金案例</vt:lpstr>
      <vt:lpstr>售价案例</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2026-03-09T08:50:22Z</dcterms:modified>
</cp:coreProperties>
</file>