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技术经济指标" sheetId="6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基准地价" sheetId="46" state="hidden" r:id="rId19"/>
    <sheet name="比较法-住宅、综合" sheetId="39"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2"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H12" i="69"/>
  <c r="F92" i="35" l="1"/>
  <c r="K14" i="35"/>
  <c r="K16" i="35"/>
  <c r="I16" i="69"/>
  <c r="E92" i="35"/>
  <c r="D92" i="35"/>
  <c r="K20" i="35"/>
  <c r="K18" i="35"/>
  <c r="AH8" i="1"/>
  <c r="E120" i="39"/>
  <c r="F120" i="39" s="1"/>
  <c r="D120" i="39"/>
  <c r="I40" i="39"/>
  <c r="G40" i="39"/>
  <c r="E73" i="39"/>
  <c r="F73" i="39" s="1"/>
  <c r="G73" i="39" s="1"/>
  <c r="H73" i="39" s="1"/>
  <c r="I73" i="39" s="1"/>
  <c r="J73" i="39" s="1"/>
  <c r="K73" i="39" s="1"/>
  <c r="L73" i="39" s="1"/>
  <c r="M73" i="39" s="1"/>
  <c r="N73" i="39" s="1"/>
  <c r="D73" i="39"/>
  <c r="I48" i="39"/>
  <c r="G48" i="39"/>
  <c r="E48" i="39"/>
  <c r="E40" i="39"/>
  <c r="I13" i="39"/>
  <c r="G13" i="39"/>
  <c r="E13" i="39"/>
  <c r="G21" i="6"/>
  <c r="F20" i="6"/>
  <c r="C21" i="6"/>
  <c r="C20" i="6"/>
  <c r="AD13" i="3"/>
  <c r="AN15" i="3"/>
  <c r="M15" i="3"/>
  <c r="K14" i="3"/>
  <c r="I13" i="3"/>
  <c r="I9" i="39"/>
  <c r="G9" i="39"/>
  <c r="E9" i="39"/>
  <c r="C7" i="39"/>
  <c r="A3" i="3"/>
  <c r="H18" i="69"/>
  <c r="H17" i="69"/>
  <c r="H16" i="69"/>
  <c r="H11" i="69"/>
  <c r="I11" i="69" s="1"/>
  <c r="G11" i="69"/>
  <c r="H15" i="69"/>
  <c r="H14" i="69"/>
  <c r="H13" i="69"/>
  <c r="B13" i="4"/>
  <c r="C11" i="4"/>
  <c r="H19" i="69" l="1"/>
  <c r="B2" i="52"/>
  <c r="E21" i="52" s="1"/>
  <c r="E4" i="4" s="1"/>
  <c r="B21" i="55" s="1"/>
  <c r="B72" i="63" s="1"/>
  <c r="D101" i="39"/>
  <c r="E101" i="39"/>
  <c r="D97" i="39"/>
  <c r="E97" i="39"/>
  <c r="F23" i="39"/>
  <c r="AA23" i="39" s="1"/>
  <c r="D103" i="39"/>
  <c r="E103" i="39"/>
  <c r="F29" i="39"/>
  <c r="AA29" i="39" s="1"/>
  <c r="H27" i="39"/>
  <c r="AB27" i="39" s="1"/>
  <c r="H23" i="39"/>
  <c r="AB23" i="39" s="1"/>
  <c r="H29" i="39"/>
  <c r="AB29" i="39" s="1"/>
  <c r="F101" i="39"/>
  <c r="F27" i="39" s="1"/>
  <c r="J27" i="39"/>
  <c r="AC27" i="39" s="1"/>
  <c r="J23" i="39"/>
  <c r="AC23" i="39" s="1"/>
  <c r="J29" i="39"/>
  <c r="AC29" i="39" s="1"/>
  <c r="F15" i="12"/>
  <c r="K23" i="21"/>
  <c r="D85" i="21" s="1"/>
  <c r="K17" i="21"/>
  <c r="D79" i="21"/>
  <c r="E79" i="21"/>
  <c r="F79" i="21"/>
  <c r="F17" i="21"/>
  <c r="AA17" i="21"/>
  <c r="D101" i="21"/>
  <c r="F32" i="21"/>
  <c r="AA32" i="21"/>
  <c r="D123" i="21"/>
  <c r="E123" i="21"/>
  <c r="F123" i="21"/>
  <c r="F42" i="21"/>
  <c r="AA42" i="21"/>
  <c r="D81" i="21"/>
  <c r="E81" i="21"/>
  <c r="F81" i="21"/>
  <c r="F19" i="21"/>
  <c r="AA19" i="21"/>
  <c r="H17" i="21"/>
  <c r="AB17" i="21"/>
  <c r="H32" i="21"/>
  <c r="AB32" i="21"/>
  <c r="H42" i="21"/>
  <c r="AB42" i="21"/>
  <c r="H19" i="21"/>
  <c r="AB19" i="21"/>
  <c r="J17" i="21"/>
  <c r="AC17" i="21"/>
  <c r="J32" i="21"/>
  <c r="AC32" i="21"/>
  <c r="J42" i="21"/>
  <c r="AC42" i="21"/>
  <c r="J19" i="21"/>
  <c r="AC19" i="21"/>
  <c r="F25" i="12"/>
  <c r="K11" i="21"/>
  <c r="D69" i="21"/>
  <c r="E69" i="21"/>
  <c r="K21" i="21"/>
  <c r="K15" i="21"/>
  <c r="AC13" i="3"/>
  <c r="BR13" i="3"/>
  <c r="I7" i="39"/>
  <c r="G7" i="39"/>
  <c r="E7" i="39"/>
  <c r="B35" i="1"/>
  <c r="F19" i="6"/>
  <c r="D3" i="4"/>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s="1"/>
  <c r="M19" i="46"/>
  <c r="I20" i="46"/>
  <c r="C20" i="46" s="1"/>
  <c r="C24" i="46"/>
  <c r="A6" i="1"/>
  <c r="J50" i="15"/>
  <c r="J51" i="15"/>
  <c r="C1" i="65"/>
  <c r="H1" i="65"/>
  <c r="I5" i="3"/>
  <c r="D8" i="59"/>
  <c r="AH6" i="59"/>
  <c r="AG6" i="59"/>
  <c r="AE6" i="59"/>
  <c r="AF6" i="59"/>
  <c r="AD6" i="59"/>
  <c r="I3" i="59"/>
  <c r="L3" i="59"/>
  <c r="K3" i="59"/>
  <c r="J3" i="59"/>
  <c r="BB13" i="3"/>
  <c r="BC13" i="3"/>
  <c r="BD13" i="3"/>
  <c r="BE13" i="3"/>
  <c r="BF13" i="3"/>
  <c r="BG13" i="3"/>
  <c r="BH13" i="3"/>
  <c r="BI13" i="3"/>
  <c r="BJ13" i="3"/>
  <c r="BK13" i="3"/>
  <c r="BA13" i="3"/>
  <c r="BM13" i="3"/>
  <c r="BN13" i="3"/>
  <c r="BO13" i="3"/>
  <c r="BP13" i="3"/>
  <c r="BQ13" i="3"/>
  <c r="BS13" i="3"/>
  <c r="BT13" i="3"/>
  <c r="H13"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1" i="55"/>
  <c r="A10" i="55"/>
  <c r="A9" i="55"/>
  <c r="B60" i="63" s="1"/>
  <c r="A8" i="55"/>
  <c r="A6" i="54"/>
  <c r="A8" i="54"/>
  <c r="A7" i="54"/>
  <c r="B51" i="63" s="1"/>
  <c r="A28" i="51"/>
  <c r="A27" i="51"/>
  <c r="B20" i="63" s="1"/>
  <c r="D5" i="46"/>
  <c r="Q9" i="59"/>
  <c r="AB7" i="59"/>
  <c r="O9" i="59"/>
  <c r="Y7" i="59"/>
  <c r="Z7" i="59"/>
  <c r="N10" i="59"/>
  <c r="O10" i="59"/>
  <c r="P10" i="59"/>
  <c r="Q10" i="59"/>
  <c r="N9" i="59"/>
  <c r="X7" i="59"/>
  <c r="P9" i="59"/>
  <c r="AA7" i="59"/>
  <c r="B11" i="59"/>
  <c r="C11" i="59"/>
  <c r="D11" i="59"/>
  <c r="E11" i="59"/>
  <c r="F11" i="59"/>
  <c r="K75" i="9"/>
  <c r="K6" i="4"/>
  <c r="O76" i="9"/>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c r="B8" i="63"/>
  <c r="A21" i="55"/>
  <c r="B71" i="63"/>
  <c r="A20" i="55"/>
  <c r="B69" i="63" s="1"/>
  <c r="B26" i="63"/>
  <c r="B28" i="63"/>
  <c r="B29" i="63"/>
  <c r="B31" i="63"/>
  <c r="B33" i="63"/>
  <c r="B35" i="63"/>
  <c r="B36" i="63"/>
  <c r="B37" i="63"/>
  <c r="B63" i="63"/>
  <c r="B64" i="63"/>
  <c r="B68" i="63"/>
  <c r="D51" i="10"/>
  <c r="B61" i="63"/>
  <c r="B59" i="63"/>
  <c r="B10" i="63"/>
  <c r="B51" i="10"/>
  <c r="B17" i="63"/>
  <c r="A15" i="51"/>
  <c r="B12" i="63" s="1"/>
  <c r="A14" i="51"/>
  <c r="B11" i="63"/>
  <c r="B66" i="63"/>
  <c r="A4" i="55"/>
  <c r="B57" i="63"/>
  <c r="B41" i="63"/>
  <c r="G5" i="54"/>
  <c r="B34" i="63"/>
  <c r="E5" i="54"/>
  <c r="B32" i="63"/>
  <c r="R2" i="54"/>
  <c r="B24" i="63"/>
  <c r="B49" i="50"/>
  <c r="B5" i="63"/>
  <c r="B40" i="50"/>
  <c r="B3" i="63" s="1"/>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N16" i="4" s="1"/>
  <c r="M16" i="4"/>
  <c r="K16" i="4"/>
  <c r="L16" i="4" s="1"/>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s="1"/>
  <c r="F12" i="1"/>
  <c r="AP12" i="1" s="1"/>
  <c r="F13" i="1"/>
  <c r="AP13" i="1" s="1"/>
  <c r="D11" i="1"/>
  <c r="D12" i="1"/>
  <c r="D13" i="1"/>
  <c r="D6" i="1"/>
  <c r="D7" i="1"/>
  <c r="D8" i="1"/>
  <c r="D9" i="1"/>
  <c r="F10" i="1"/>
  <c r="AP10" i="1" s="1"/>
  <c r="D10" i="1"/>
  <c r="C42" i="1"/>
  <c r="A12" i="1"/>
  <c r="R12" i="1"/>
  <c r="A13" i="1"/>
  <c r="B13" i="1"/>
  <c r="E13" i="1"/>
  <c r="A7" i="1"/>
  <c r="G1" i="15" s="1"/>
  <c r="A8" i="1"/>
  <c r="G1" i="44" s="1"/>
  <c r="A9" i="1"/>
  <c r="A10" i="1"/>
  <c r="R10" i="1"/>
  <c r="A11"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c r="C54" i="40" s="1"/>
  <c r="H63" i="39"/>
  <c r="I63" i="39"/>
  <c r="C63" i="39"/>
  <c r="H59" i="39"/>
  <c r="I59" i="39"/>
  <c r="C59" i="39" s="1"/>
  <c r="H67" i="39"/>
  <c r="I67" i="39"/>
  <c r="C67" i="39"/>
  <c r="H66" i="39"/>
  <c r="I66" i="39"/>
  <c r="C66" i="39" s="1"/>
  <c r="H65" i="39"/>
  <c r="I65" i="39" s="1"/>
  <c r="C65" i="39" s="1"/>
  <c r="H64" i="39"/>
  <c r="I64" i="39" s="1"/>
  <c r="C64" i="39" s="1"/>
  <c r="H62" i="39"/>
  <c r="I62" i="39"/>
  <c r="C62" i="39" s="1"/>
  <c r="H61" i="39"/>
  <c r="I61" i="39" s="1"/>
  <c r="C61" i="39" s="1"/>
  <c r="H60" i="39"/>
  <c r="I60" i="39"/>
  <c r="C60" i="39" s="1"/>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B62" i="63"/>
  <c r="A2" i="55"/>
  <c r="B55" i="63"/>
  <c r="N3" i="54"/>
  <c r="B42" i="63"/>
  <c r="A2" i="9"/>
  <c r="T16" i="4"/>
  <c r="D14" i="4"/>
  <c r="G36" i="4"/>
  <c r="K2" i="54"/>
  <c r="B23" i="63" s="1"/>
  <c r="A3" i="51"/>
  <c r="R41" i="4"/>
  <c r="Q41" i="4"/>
  <c r="P41" i="4"/>
  <c r="O41" i="4"/>
  <c r="N41" i="4"/>
  <c r="M41" i="4"/>
  <c r="L41" i="4"/>
  <c r="K40" i="4"/>
  <c r="T40" i="4" s="1"/>
  <c r="F23" i="4"/>
  <c r="D19" i="4"/>
  <c r="F6" i="1" s="1"/>
  <c r="I19" i="4"/>
  <c r="H19" i="4"/>
  <c r="G19" i="4"/>
  <c r="F8" i="1" s="1"/>
  <c r="F9" i="1"/>
  <c r="AP9" i="1" s="1"/>
  <c r="F19" i="4"/>
  <c r="E19" i="4"/>
  <c r="F7" i="1"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C9" i="43" s="1"/>
  <c r="C10" i="43" s="1"/>
  <c r="C6" i="43" s="1"/>
  <c r="E20" i="6"/>
  <c r="E21" i="6"/>
  <c r="K8" i="1"/>
  <c r="M8" i="1" s="1"/>
  <c r="E22" i="6"/>
  <c r="E23" i="6"/>
  <c r="E24" i="6"/>
  <c r="E25" i="6"/>
  <c r="E26" i="6"/>
  <c r="D38" i="4"/>
  <c r="C39" i="4" s="1"/>
  <c r="C35" i="4"/>
  <c r="E16" i="12"/>
  <c r="F14" i="12"/>
  <c r="F17" i="12"/>
  <c r="E19" i="12"/>
  <c r="E21" i="12"/>
  <c r="E22" i="12"/>
  <c r="F23" i="12"/>
  <c r="F24" i="12"/>
  <c r="C43" i="9"/>
  <c r="K47" i="9"/>
  <c r="B65" i="63"/>
  <c r="I73" i="9"/>
  <c r="F73" i="9"/>
  <c r="P73" i="9"/>
  <c r="D107" i="9"/>
  <c r="C107" i="9" s="1"/>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H10" i="39"/>
  <c r="AB10" i="39"/>
  <c r="H11" i="39"/>
  <c r="AB11" i="39" s="1"/>
  <c r="H36" i="39"/>
  <c r="AB36" i="39"/>
  <c r="J10" i="39"/>
  <c r="AC10" i="39"/>
  <c r="J11" i="39"/>
  <c r="AC11" i="39" s="1"/>
  <c r="J36" i="39"/>
  <c r="AC36" i="39"/>
  <c r="F35" i="44"/>
  <c r="M21" i="44"/>
  <c r="F20" i="44"/>
  <c r="K9" i="43"/>
  <c r="J9" i="43"/>
  <c r="I9" i="43"/>
  <c r="H9" i="43"/>
  <c r="G9" i="43"/>
  <c r="F9" i="43"/>
  <c r="E9" i="43"/>
  <c r="D9" i="4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s="1"/>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s="1"/>
  <c r="B106" i="39"/>
  <c r="D99" i="39"/>
  <c r="E99" i="39" s="1"/>
  <c r="D95" i="39"/>
  <c r="E95" i="39"/>
  <c r="F95" i="39"/>
  <c r="G95" i="39"/>
  <c r="D93" i="39"/>
  <c r="E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D80" i="35"/>
  <c r="D72" i="35"/>
  <c r="D70" i="35"/>
  <c r="E70" i="35" s="1"/>
  <c r="F70" i="35" s="1"/>
  <c r="D66" i="35"/>
  <c r="E66" i="35" s="1"/>
  <c r="D64" i="35"/>
  <c r="E64" i="35" s="1"/>
  <c r="F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A38" i="21"/>
  <c r="AB36" i="21"/>
  <c r="AC35" i="21"/>
  <c r="C29" i="39"/>
  <c r="C23" i="39"/>
  <c r="U36" i="39"/>
  <c r="H32" i="33"/>
  <c r="AB32" i="33"/>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P16" i="4"/>
  <c r="D3" i="35"/>
  <c r="G4" i="4"/>
  <c r="S37" i="34"/>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AC43" i="39" s="1"/>
  <c r="F99" i="37"/>
  <c r="AC27" i="37"/>
  <c r="U25" i="35"/>
  <c r="S45" i="34"/>
  <c r="U31" i="34"/>
  <c r="AC40" i="37"/>
  <c r="W40" i="37"/>
  <c r="W27" i="33"/>
  <c r="AC45" i="21"/>
  <c r="S28" i="33"/>
  <c r="S14" i="21"/>
  <c r="AA44" i="34"/>
  <c r="AC19" i="33"/>
  <c r="W19" i="33"/>
  <c r="U43" i="34"/>
  <c r="AB43" i="34"/>
  <c r="AC34" i="37"/>
  <c r="S35" i="37"/>
  <c r="AA35" i="37"/>
  <c r="S32" i="21"/>
  <c r="U38" i="21"/>
  <c r="AB34" i="21"/>
  <c r="BL571" i="3"/>
  <c r="BA571" i="3"/>
  <c r="AZ571" i="3"/>
  <c r="BL570" i="3"/>
  <c r="AZ570" i="3"/>
  <c r="BE5" i="3"/>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s="1"/>
  <c r="H34" i="39"/>
  <c r="AB34" i="39"/>
  <c r="J34" i="39"/>
  <c r="AC34" i="39" s="1"/>
  <c r="F39" i="39"/>
  <c r="H39" i="39"/>
  <c r="AB39" i="39"/>
  <c r="J39" i="39"/>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5" i="6" s="1"/>
  <c r="D21" i="12" s="1"/>
  <c r="C21" i="12"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W27" i="39"/>
  <c r="S23" i="39"/>
  <c r="AB16"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AB21" i="39"/>
  <c r="U21" i="39"/>
  <c r="AB33" i="36"/>
  <c r="AA11" i="36"/>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AC39" i="39"/>
  <c r="W39" i="39"/>
  <c r="AA39" i="39"/>
  <c r="S39" i="39"/>
  <c r="U34" i="39"/>
  <c r="AB46" i="39"/>
  <c r="AB44" i="39"/>
  <c r="S17" i="39"/>
  <c r="U11" i="36"/>
  <c r="F80" i="35"/>
  <c r="G80" i="35"/>
  <c r="H80" i="35"/>
  <c r="I80" i="35"/>
  <c r="J80" i="35"/>
  <c r="K80" i="35"/>
  <c r="L80" i="35"/>
  <c r="M80"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B11" i="1"/>
  <c r="E11" i="1"/>
  <c r="K11" i="1"/>
  <c r="M11" i="1" s="1"/>
  <c r="B9" i="1"/>
  <c r="E9" i="1"/>
  <c r="K9" i="1"/>
  <c r="M9" i="1" s="1"/>
  <c r="O9" i="1" s="1"/>
  <c r="B7" i="1"/>
  <c r="E7" i="1"/>
  <c r="K7" i="1"/>
  <c r="C20" i="43"/>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U33" i="35"/>
  <c r="S23" i="35"/>
  <c r="U9" i="35"/>
  <c r="W13" i="35"/>
  <c r="AC18" i="35"/>
  <c r="W18" i="35"/>
  <c r="U18" i="35"/>
  <c r="AB18" i="35"/>
  <c r="S30"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17" i="21"/>
  <c r="F15" i="21"/>
  <c r="S15" i="21"/>
  <c r="F77" i="21"/>
  <c r="G77" i="2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W29" i="39"/>
  <c r="S29" i="39"/>
  <c r="AC21" i="39"/>
  <c r="S14" i="39"/>
  <c r="AB15" i="39"/>
  <c r="U11" i="39"/>
  <c r="U23" i="39"/>
  <c r="AB38" i="39"/>
  <c r="U31" i="39"/>
  <c r="AB31" i="39"/>
  <c r="S38" i="39"/>
  <c r="S22" i="31"/>
  <c r="B22" i="63"/>
  <c r="M20" i="15"/>
  <c r="D96" i="9"/>
  <c r="BA16" i="3"/>
  <c r="BA17" i="3"/>
  <c r="AZ17" i="3"/>
  <c r="F3" i="35"/>
  <c r="K1" i="43"/>
  <c r="K1" i="12"/>
  <c r="AZ15" i="3"/>
  <c r="BK5" i="3"/>
  <c r="BO5" i="3"/>
  <c r="BP5" i="3"/>
  <c r="BN5" i="3"/>
  <c r="BL18" i="3"/>
  <c r="AZ18" i="3"/>
  <c r="BC5" i="3"/>
  <c r="E8" i="6"/>
  <c r="E53" i="40" s="1"/>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G9" i="1"/>
  <c r="C46" i="36"/>
  <c r="D46" i="36"/>
  <c r="C59" i="34"/>
  <c r="D59" i="34"/>
  <c r="E59" i="34" s="1"/>
  <c r="F59" i="34" s="1"/>
  <c r="C48" i="35"/>
  <c r="D48" i="35" s="1"/>
  <c r="C52" i="37"/>
  <c r="D52" i="37" s="1"/>
  <c r="C67" i="40"/>
  <c r="D65" i="40"/>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C15" i="43" s="1"/>
  <c r="P9" i="1"/>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AB43" i="39"/>
  <c r="AC46" i="39"/>
  <c r="S34" i="39"/>
  <c r="W36" i="39"/>
  <c r="W23" i="39"/>
  <c r="AC37" i="39"/>
  <c r="U14" i="39"/>
  <c r="W16" i="39"/>
  <c r="S15" i="39"/>
  <c r="W45" i="39"/>
  <c r="AA44" i="39"/>
  <c r="AA46" i="39"/>
  <c r="W34" i="39"/>
  <c r="W10" i="39"/>
  <c r="W11"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8" i="39"/>
  <c r="F27" i="6"/>
  <c r="E12" i="6"/>
  <c r="E59" i="40" s="1"/>
  <c r="BA5" i="3"/>
  <c r="E27" i="6" s="1"/>
  <c r="K24" i="6" s="1"/>
  <c r="M24" i="6" s="1"/>
  <c r="I24" i="6" s="1"/>
  <c r="S24" i="6" s="1"/>
  <c r="G29" i="6"/>
  <c r="G30" i="6" s="1"/>
  <c r="G31" i="6" s="1"/>
  <c r="AZ16" i="3"/>
  <c r="E14" i="6"/>
  <c r="E61" i="40" s="1"/>
  <c r="E10" i="6"/>
  <c r="E15" i="6"/>
  <c r="E67" i="39" s="1"/>
  <c r="E28" i="6"/>
  <c r="K25" i="6" s="1"/>
  <c r="M25" i="6" s="1"/>
  <c r="I25" i="6" s="1"/>
  <c r="S25" i="6" s="1"/>
  <c r="E13" i="6"/>
  <c r="E60" i="40" s="1"/>
  <c r="E11" i="6"/>
  <c r="E58" i="40" s="1"/>
  <c r="H70" i="46"/>
  <c r="H72" i="46"/>
  <c r="A9" i="64"/>
  <c r="A9" i="51"/>
  <c r="B9" i="63" s="1"/>
  <c r="E52" i="37"/>
  <c r="F52" i="37" s="1"/>
  <c r="G52" i="37" s="1"/>
  <c r="G59" i="34"/>
  <c r="H59" i="34" s="1"/>
  <c r="I59" i="34" s="1"/>
  <c r="E48" i="35"/>
  <c r="F48" i="35" s="1"/>
  <c r="E46" i="36"/>
  <c r="F46" i="36" s="1"/>
  <c r="D67" i="40"/>
  <c r="E65" i="40"/>
  <c r="G66" i="36"/>
  <c r="J18" i="36"/>
  <c r="AE8" i="1"/>
  <c r="AE6" i="1"/>
  <c r="F33" i="44"/>
  <c r="F31" i="15"/>
  <c r="F58" i="15"/>
  <c r="M17" i="15"/>
  <c r="M19" i="44"/>
  <c r="W18" i="36"/>
  <c r="AC18" i="36"/>
  <c r="AG6" i="1"/>
  <c r="E29" i="6"/>
  <c r="L20" i="6"/>
  <c r="E65" i="39"/>
  <c r="E66" i="39"/>
  <c r="F7" i="21"/>
  <c r="AA7" i="21" s="1"/>
  <c r="R48" i="21" s="1"/>
  <c r="R49" i="21" s="1"/>
  <c r="J7" i="21"/>
  <c r="H7" i="21"/>
  <c r="U7" i="21" s="1"/>
  <c r="E67" i="40"/>
  <c r="F65" i="40"/>
  <c r="G65" i="40" s="1"/>
  <c r="G67" i="40" s="1"/>
  <c r="S9" i="1"/>
  <c r="AC7" i="21"/>
  <c r="V48" i="21" s="1"/>
  <c r="I48" i="21" s="1"/>
  <c r="I52" i="21" s="1"/>
  <c r="J52" i="21" s="1"/>
  <c r="W7" i="21"/>
  <c r="AB7" i="21"/>
  <c r="T48" i="21" s="1"/>
  <c r="G48" i="21" s="1"/>
  <c r="S7" i="21"/>
  <c r="F67" i="40"/>
  <c r="E48" i="21"/>
  <c r="H65" i="40"/>
  <c r="H67" i="40" s="1"/>
  <c r="R9" i="1"/>
  <c r="I65" i="40"/>
  <c r="I67" i="40" s="1"/>
  <c r="J65" i="40"/>
  <c r="J67" i="40" s="1"/>
  <c r="C45" i="9"/>
  <c r="H14" i="66"/>
  <c r="B7" i="66"/>
  <c r="O40" i="9"/>
  <c r="K31" i="9"/>
  <c r="K32" i="9"/>
  <c r="R7" i="54"/>
  <c r="B52" i="63"/>
  <c r="N76" i="9"/>
  <c r="C46" i="9"/>
  <c r="K33" i="9"/>
  <c r="O41" i="9"/>
  <c r="I14" i="66"/>
  <c r="B8" i="66"/>
  <c r="K34" i="9"/>
  <c r="R8" i="54"/>
  <c r="B54" i="63"/>
  <c r="F9" i="44"/>
  <c r="F9" i="15"/>
  <c r="M24" i="44"/>
  <c r="F36" i="15"/>
  <c r="F11" i="44"/>
  <c r="E11" i="67"/>
  <c r="J5" i="65"/>
  <c r="M27" i="15"/>
  <c r="F8" i="67"/>
  <c r="F13" i="67"/>
  <c r="E10" i="67"/>
  <c r="F43" i="15"/>
  <c r="F16" i="15"/>
  <c r="M25" i="44"/>
  <c r="F45" i="44"/>
  <c r="L47" i="15"/>
  <c r="B10" i="67"/>
  <c r="M29" i="44"/>
  <c r="I5" i="65"/>
  <c r="N3" i="65"/>
  <c r="M28" i="44"/>
  <c r="E8" i="67"/>
  <c r="F26" i="15"/>
  <c r="F37" i="15"/>
  <c r="B9" i="67"/>
  <c r="M26" i="15"/>
  <c r="F10" i="67"/>
  <c r="I6" i="65"/>
  <c r="M8" i="15"/>
  <c r="E9" i="67"/>
  <c r="M28" i="15"/>
  <c r="M9" i="15"/>
  <c r="B12" i="67"/>
  <c r="F42" i="15"/>
  <c r="J15" i="15"/>
  <c r="J6" i="65"/>
  <c r="F28" i="44"/>
  <c r="M23" i="44"/>
  <c r="F38" i="44"/>
  <c r="E14" i="67"/>
  <c r="F15" i="44"/>
  <c r="M29" i="15"/>
  <c r="N7" i="65"/>
  <c r="J36" i="15"/>
  <c r="F46" i="44"/>
  <c r="B14" i="67"/>
  <c r="L48" i="44"/>
  <c r="F43" i="44"/>
  <c r="I3" i="65"/>
  <c r="M8" i="44"/>
  <c r="F37" i="44"/>
  <c r="N5" i="65"/>
  <c r="M26" i="44"/>
  <c r="I4" i="65"/>
  <c r="J3" i="65"/>
  <c r="F8" i="44"/>
  <c r="C19" i="44"/>
  <c r="N4" i="65"/>
  <c r="F40" i="15"/>
  <c r="F9" i="67"/>
  <c r="M6" i="15"/>
  <c r="F14" i="67"/>
  <c r="M11" i="44"/>
  <c r="E13" i="67"/>
  <c r="F39" i="44"/>
  <c r="M30" i="44"/>
  <c r="J7" i="65"/>
  <c r="F10" i="44"/>
  <c r="L49" i="44"/>
  <c r="N6" i="65"/>
  <c r="B8" i="67"/>
  <c r="F6" i="15"/>
  <c r="I7" i="65"/>
  <c r="F12" i="67"/>
  <c r="M23" i="15"/>
  <c r="J17" i="44"/>
  <c r="F38" i="15"/>
  <c r="M10" i="44"/>
  <c r="L48" i="15"/>
  <c r="M22" i="15"/>
  <c r="F11" i="67"/>
  <c r="M31" i="44"/>
  <c r="J4" i="65"/>
  <c r="F40" i="44"/>
  <c r="F18" i="44"/>
  <c r="F8" i="15"/>
  <c r="M24" i="15"/>
  <c r="B13" i="67"/>
  <c r="F13" i="15"/>
  <c r="E12" i="67"/>
  <c r="B11" i="67"/>
  <c r="AP7" i="1" l="1"/>
  <c r="G7" i="1"/>
  <c r="AP11" i="1"/>
  <c r="G10" i="1"/>
  <c r="C18" i="9"/>
  <c r="M43" i="9" s="1"/>
  <c r="D18" i="9"/>
  <c r="M44" i="9" s="1"/>
  <c r="F33" i="39"/>
  <c r="J33" i="39"/>
  <c r="AC33" i="39" s="1"/>
  <c r="F107" i="39"/>
  <c r="G107" i="39" s="1"/>
  <c r="H107" i="39" s="1"/>
  <c r="I107" i="39" s="1"/>
  <c r="J107" i="39" s="1"/>
  <c r="K107" i="39" s="1"/>
  <c r="L107" i="39" s="1"/>
  <c r="M107" i="39" s="1"/>
  <c r="H33" i="39"/>
  <c r="W33" i="39"/>
  <c r="E63" i="39"/>
  <c r="F31" i="6"/>
  <c r="E32" i="6"/>
  <c r="L19" i="6" s="1"/>
  <c r="L27" i="6" s="1"/>
  <c r="M7" i="1"/>
  <c r="AH7" i="1"/>
  <c r="G64" i="35"/>
  <c r="F14" i="35"/>
  <c r="J14" i="35"/>
  <c r="H14" i="35"/>
  <c r="U14" i="35" s="1"/>
  <c r="F66" i="35"/>
  <c r="J16" i="35"/>
  <c r="W16" i="35" s="1"/>
  <c r="AC33" i="35"/>
  <c r="W32" i="35"/>
  <c r="H87" i="35"/>
  <c r="I87" i="35" s="1"/>
  <c r="J87" i="35" s="1"/>
  <c r="K87" i="35" s="1"/>
  <c r="L87" i="35" s="1"/>
  <c r="M87" i="35" s="1"/>
  <c r="H29" i="35"/>
  <c r="F29" i="35"/>
  <c r="J29" i="35"/>
  <c r="J28" i="35"/>
  <c r="F28" i="35"/>
  <c r="G84" i="35"/>
  <c r="H84" i="35" s="1"/>
  <c r="I84" i="35" s="1"/>
  <c r="J84" i="35" s="1"/>
  <c r="K84" i="35" s="1"/>
  <c r="L84" i="35" s="1"/>
  <c r="M84" i="35" s="1"/>
  <c r="H28" i="35"/>
  <c r="J20" i="35"/>
  <c r="H20" i="35"/>
  <c r="G70" i="35"/>
  <c r="F20" i="35"/>
  <c r="S18" i="35"/>
  <c r="B11" i="52"/>
  <c r="F26" i="35"/>
  <c r="J26" i="35"/>
  <c r="H26" i="35"/>
  <c r="AC10" i="35"/>
  <c r="AB10" i="35"/>
  <c r="S10" i="35"/>
  <c r="F23" i="21"/>
  <c r="H23" i="21"/>
  <c r="E85" i="21"/>
  <c r="AA27" i="39"/>
  <c r="S27" i="39"/>
  <c r="F93" i="39"/>
  <c r="H19" i="39"/>
  <c r="AB19" i="39" s="1"/>
  <c r="F19" i="39"/>
  <c r="AA42" i="39"/>
  <c r="S42" i="39"/>
  <c r="E124" i="39"/>
  <c r="F124" i="39" s="1"/>
  <c r="G124" i="39" s="1"/>
  <c r="H124" i="39" s="1"/>
  <c r="I124" i="39" s="1"/>
  <c r="J124" i="39" s="1"/>
  <c r="K124" i="39" s="1"/>
  <c r="L124" i="39" s="1"/>
  <c r="M124" i="39" s="1"/>
  <c r="J42" i="39"/>
  <c r="H42" i="39"/>
  <c r="F122" i="39"/>
  <c r="G122" i="39" s="1"/>
  <c r="H122" i="39" s="1"/>
  <c r="I122" i="39" s="1"/>
  <c r="J122" i="39" s="1"/>
  <c r="K122" i="39" s="1"/>
  <c r="L122" i="39" s="1"/>
  <c r="M122" i="39" s="1"/>
  <c r="H41" i="39"/>
  <c r="AB41" i="39" s="1"/>
  <c r="W43" i="39"/>
  <c r="U41" i="39"/>
  <c r="U19" i="39"/>
  <c r="AB17" i="39"/>
  <c r="F99" i="39"/>
  <c r="G99" i="39" s="1"/>
  <c r="H25" i="39"/>
  <c r="U25" i="39" s="1"/>
  <c r="F25" i="39"/>
  <c r="J25" i="39"/>
  <c r="W14" i="39"/>
  <c r="S41" i="39"/>
  <c r="W41" i="39"/>
  <c r="AB25" i="39"/>
  <c r="AC17" i="39"/>
  <c r="I53" i="21"/>
  <c r="J53" i="21" s="1"/>
  <c r="F27" i="43"/>
  <c r="C27" i="43" s="1"/>
  <c r="M18" i="15"/>
  <c r="F28" i="15"/>
  <c r="C28" i="15" s="1"/>
  <c r="F30" i="44"/>
  <c r="C30" i="44" s="1"/>
  <c r="M20" i="44"/>
  <c r="F70" i="9"/>
  <c r="F71" i="9"/>
  <c r="F66" i="9"/>
  <c r="P72" i="9" s="1"/>
  <c r="C31" i="43"/>
  <c r="B22" i="52"/>
  <c r="AP8" i="1"/>
  <c r="G8" i="1"/>
  <c r="K17" i="4"/>
  <c r="A22" i="51" s="1"/>
  <c r="B16" i="63" s="1"/>
  <c r="D12" i="11"/>
  <c r="C12" i="11" s="1"/>
  <c r="Q16" i="1"/>
  <c r="F18" i="11" s="1"/>
  <c r="C18" i="11" s="1"/>
  <c r="H16" i="1"/>
  <c r="BL13" i="3"/>
  <c r="K15" i="1"/>
  <c r="K14" i="1"/>
  <c r="M14" i="1" s="1"/>
  <c r="M16" i="1" s="1"/>
  <c r="N16" i="1" s="1"/>
  <c r="C29" i="43" s="1"/>
  <c r="BL5" i="3"/>
  <c r="AC5" i="3"/>
  <c r="K26" i="6"/>
  <c r="M26" i="6" s="1"/>
  <c r="I26" i="6" s="1"/>
  <c r="S26" i="6" s="1"/>
  <c r="K22" i="6"/>
  <c r="M22" i="6" s="1"/>
  <c r="I22" i="6" s="1"/>
  <c r="S22" i="6" s="1"/>
  <c r="K23" i="6"/>
  <c r="M23" i="6" s="1"/>
  <c r="I23" i="6" s="1"/>
  <c r="S23" i="6" s="1"/>
  <c r="I4" i="6"/>
  <c r="O11" i="1"/>
  <c r="P11" i="1" s="1"/>
  <c r="G13" i="3"/>
  <c r="E4" i="52"/>
  <c r="B5" i="52"/>
  <c r="B10" i="52"/>
  <c r="E16" i="52"/>
  <c r="E8" i="52"/>
  <c r="B13" i="52"/>
  <c r="B9" i="52"/>
  <c r="B7" i="52"/>
  <c r="E22" i="52"/>
  <c r="O8" i="1"/>
  <c r="P8" i="1" s="1"/>
  <c r="AZ13" i="3"/>
  <c r="AZ5" i="3" s="1"/>
  <c r="E3" i="6" s="1"/>
  <c r="E30" i="6"/>
  <c r="K21" i="6"/>
  <c r="F33" i="12"/>
  <c r="E64" i="39"/>
  <c r="E68" i="39" s="1"/>
  <c r="E16" i="6"/>
  <c r="E62" i="40"/>
  <c r="K19" i="6"/>
  <c r="K20" i="6"/>
  <c r="E31" i="6"/>
  <c r="O7" i="1"/>
  <c r="P7" i="1" s="1"/>
  <c r="O14" i="1"/>
  <c r="P14" i="1" s="1"/>
  <c r="O6" i="1"/>
  <c r="O10" i="1"/>
  <c r="P10" i="1" s="1"/>
  <c r="X7" i="46"/>
  <c r="H47" i="46"/>
  <c r="C16" i="46"/>
  <c r="C5" i="46" s="1"/>
  <c r="A18" i="51"/>
  <c r="B14" i="63" s="1"/>
  <c r="L5" i="54"/>
  <c r="B39" i="63" s="1"/>
  <c r="K5" i="54"/>
  <c r="T41" i="4"/>
  <c r="A17" i="51" s="1"/>
  <c r="B13" i="63" s="1"/>
  <c r="A18" i="64"/>
  <c r="B74" i="63" s="1"/>
  <c r="C53" i="10"/>
  <c r="A25" i="64" s="1"/>
  <c r="A17" i="64"/>
  <c r="A25" i="51"/>
  <c r="B18" i="63" s="1"/>
  <c r="E5" i="52"/>
  <c r="B6" i="52"/>
  <c r="B16" i="52"/>
  <c r="B23" i="52"/>
  <c r="E10" i="52"/>
  <c r="E9" i="52"/>
  <c r="B8" i="52"/>
  <c r="B4" i="52"/>
  <c r="B14" i="52"/>
  <c r="E6" i="52"/>
  <c r="E11" i="52"/>
  <c r="K65" i="40"/>
  <c r="G48" i="35"/>
  <c r="H48" i="35" s="1"/>
  <c r="I48" i="35" s="1"/>
  <c r="J48" i="35" s="1"/>
  <c r="K48" i="35" s="1"/>
  <c r="L48" i="35" s="1"/>
  <c r="M48" i="35" s="1"/>
  <c r="N48" i="35" s="1"/>
  <c r="O48" i="35" s="1"/>
  <c r="J7" i="35"/>
  <c r="H7" i="35"/>
  <c r="H52" i="37"/>
  <c r="I52" i="37" s="1"/>
  <c r="J52" i="37" s="1"/>
  <c r="K52" i="37" s="1"/>
  <c r="L52" i="37" s="1"/>
  <c r="M52" i="37" s="1"/>
  <c r="N52" i="37" s="1"/>
  <c r="O52" i="37" s="1"/>
  <c r="J7" i="37"/>
  <c r="H7" i="37"/>
  <c r="F7" i="37"/>
  <c r="E53" i="21"/>
  <c r="F53" i="21" s="1"/>
  <c r="E52" i="21"/>
  <c r="F52" i="21" s="1"/>
  <c r="G52" i="21"/>
  <c r="H52" i="21" s="1"/>
  <c r="G53" i="21"/>
  <c r="H53" i="21" s="1"/>
  <c r="C48" i="21"/>
  <c r="C10" i="12" s="1"/>
  <c r="C49" i="21"/>
  <c r="B3" i="21" s="1"/>
  <c r="B2" i="21" s="1"/>
  <c r="G46" i="36"/>
  <c r="H46" i="36" s="1"/>
  <c r="I46" i="36" s="1"/>
  <c r="J46" i="36" s="1"/>
  <c r="K46" i="36" s="1"/>
  <c r="L46" i="36" s="1"/>
  <c r="M46" i="36" s="1"/>
  <c r="N46" i="36" s="1"/>
  <c r="O46" i="36" s="1"/>
  <c r="H7" i="36"/>
  <c r="J7" i="36"/>
  <c r="F7" i="34"/>
  <c r="J59" i="34"/>
  <c r="K59" i="34" s="1"/>
  <c r="L59" i="34" s="1"/>
  <c r="M59" i="34" s="1"/>
  <c r="N59" i="34" s="1"/>
  <c r="O59" i="34" s="1"/>
  <c r="J7" i="34"/>
  <c r="H7" i="34"/>
  <c r="E58" i="33"/>
  <c r="F58" i="33" s="1"/>
  <c r="G58" i="33" s="1"/>
  <c r="H58" i="33" s="1"/>
  <c r="I58" i="33" s="1"/>
  <c r="J58" i="33" s="1"/>
  <c r="K58" i="33" s="1"/>
  <c r="L58" i="33" s="1"/>
  <c r="M58" i="33" s="1"/>
  <c r="N58" i="33" s="1"/>
  <c r="O58" i="33" s="1"/>
  <c r="D70" i="39"/>
  <c r="C72" i="39"/>
  <c r="P21" i="46"/>
  <c r="M20" i="46"/>
  <c r="C19" i="46" s="1"/>
  <c r="P24" i="46"/>
  <c r="B68" i="40" s="1"/>
  <c r="P25" i="46"/>
  <c r="B73" i="39" s="1"/>
  <c r="P23" i="46"/>
  <c r="P22" i="46"/>
  <c r="O19" i="46"/>
  <c r="F7" i="36"/>
  <c r="F7" i="35"/>
  <c r="G6" i="1"/>
  <c r="AP6" i="1"/>
  <c r="C25" i="12"/>
  <c r="E7" i="52"/>
  <c r="J22" i="44"/>
  <c r="C36" i="44"/>
  <c r="F65" i="15"/>
  <c r="F50" i="15"/>
  <c r="L58" i="15"/>
  <c r="L59" i="15"/>
  <c r="C8" i="44"/>
  <c r="C29" i="44"/>
  <c r="F63" i="15"/>
  <c r="Q72" i="15"/>
  <c r="J1" i="65"/>
  <c r="E20" i="46"/>
  <c r="J54" i="44"/>
  <c r="I55" i="44"/>
  <c r="J60" i="44"/>
  <c r="L57" i="44"/>
  <c r="J58" i="44"/>
  <c r="J56" i="44" s="1"/>
  <c r="J59" i="44" s="1"/>
  <c r="Q52" i="44" s="1"/>
  <c r="J61" i="44"/>
  <c r="Q50" i="44" s="1"/>
  <c r="Q73" i="44"/>
  <c r="F70" i="15"/>
  <c r="F64" i="15"/>
  <c r="M9" i="44"/>
  <c r="J8" i="44" s="1"/>
  <c r="F67" i="15"/>
  <c r="L60" i="44"/>
  <c r="L59" i="44"/>
  <c r="C27" i="15"/>
  <c r="C4" i="65"/>
  <c r="B39" i="1" s="1"/>
  <c r="J53" i="15"/>
  <c r="I54" i="15"/>
  <c r="L56" i="15"/>
  <c r="J57" i="15"/>
  <c r="J55" i="15" s="1"/>
  <c r="J58" i="15" s="1"/>
  <c r="Q51" i="15" s="1"/>
  <c r="F7" i="15"/>
  <c r="C18" i="44"/>
  <c r="E3" i="65"/>
  <c r="E2" i="65"/>
  <c r="C16" i="15"/>
  <c r="G16" i="1" l="1"/>
  <c r="J12" i="40" s="1"/>
  <c r="AP16" i="1"/>
  <c r="F22" i="11" s="1"/>
  <c r="U33" i="39"/>
  <c r="AB33" i="39"/>
  <c r="AA33" i="39"/>
  <c r="S33" i="39"/>
  <c r="F49" i="15"/>
  <c r="C48" i="15" s="1"/>
  <c r="M7" i="15"/>
  <c r="J6" i="15" s="1"/>
  <c r="C6" i="15"/>
  <c r="K16" i="1"/>
  <c r="G3" i="46"/>
  <c r="F22" i="46" s="1"/>
  <c r="I7" i="6"/>
  <c r="C13" i="39" s="1"/>
  <c r="B40" i="1"/>
  <c r="F24" i="15" s="1"/>
  <c r="C24" i="15" s="1"/>
  <c r="S14" i="35"/>
  <c r="AA14" i="35"/>
  <c r="AB14" i="35"/>
  <c r="AC14" i="35"/>
  <c r="W14" i="35"/>
  <c r="AC16" i="35"/>
  <c r="H16" i="35"/>
  <c r="G66" i="35"/>
  <c r="F16" i="35"/>
  <c r="AC29" i="35"/>
  <c r="W29" i="35"/>
  <c r="AB29" i="35"/>
  <c r="U29" i="35"/>
  <c r="S29" i="35"/>
  <c r="AA29" i="35"/>
  <c r="U28" i="35"/>
  <c r="AB28" i="35"/>
  <c r="AA28" i="35"/>
  <c r="S28" i="35"/>
  <c r="W28" i="35"/>
  <c r="AC28" i="35"/>
  <c r="S20" i="35"/>
  <c r="AA20" i="35"/>
  <c r="AB20" i="35"/>
  <c r="U20" i="35"/>
  <c r="AC20" i="35"/>
  <c r="W20" i="35"/>
  <c r="W26" i="35"/>
  <c r="AC26" i="35"/>
  <c r="U26" i="35"/>
  <c r="AB26" i="35"/>
  <c r="AA26" i="35"/>
  <c r="S26" i="35"/>
  <c r="AB23" i="21"/>
  <c r="U23" i="21"/>
  <c r="J23" i="21"/>
  <c r="F85" i="21"/>
  <c r="G85" i="21" s="1"/>
  <c r="AA23" i="21"/>
  <c r="S23" i="21"/>
  <c r="S19" i="39"/>
  <c r="AA19" i="39"/>
  <c r="G93" i="39"/>
  <c r="J19" i="39"/>
  <c r="AC42" i="39"/>
  <c r="W42" i="39"/>
  <c r="AB42" i="39"/>
  <c r="U42" i="39"/>
  <c r="AC25" i="39"/>
  <c r="W25" i="39"/>
  <c r="AA25" i="39"/>
  <c r="S25" i="39"/>
  <c r="C34" i="12"/>
  <c r="D33" i="12" s="1"/>
  <c r="F24" i="43"/>
  <c r="C26" i="43" s="1"/>
  <c r="D24" i="43" s="1"/>
  <c r="M20" i="6"/>
  <c r="I20" i="6" s="1"/>
  <c r="S20" i="6" s="1"/>
  <c r="S7" i="1"/>
  <c r="M21" i="6"/>
  <c r="I21" i="6" s="1"/>
  <c r="S21" i="6" s="1"/>
  <c r="S8" i="1"/>
  <c r="AB11" i="46"/>
  <c r="AB13" i="46" s="1"/>
  <c r="AA11" i="46"/>
  <c r="AA13" i="46" s="1"/>
  <c r="C101" i="46"/>
  <c r="G101" i="46"/>
  <c r="G102" i="46" s="1"/>
  <c r="Z7" i="46"/>
  <c r="I101" i="46"/>
  <c r="I109" i="46" s="1"/>
  <c r="AD11" i="46"/>
  <c r="AD13" i="46" s="1"/>
  <c r="N104" i="45"/>
  <c r="J101" i="46"/>
  <c r="J103" i="46" s="1"/>
  <c r="K101" i="46"/>
  <c r="K104" i="46" s="1"/>
  <c r="Y11" i="46"/>
  <c r="Y13" i="46" s="1"/>
  <c r="J22" i="46"/>
  <c r="Z11" i="46"/>
  <c r="Z13" i="46" s="1"/>
  <c r="G5" i="3"/>
  <c r="B3" i="3" s="1"/>
  <c r="E13" i="3" s="1"/>
  <c r="J104" i="46"/>
  <c r="K106" i="46"/>
  <c r="L16" i="1"/>
  <c r="C13" i="43"/>
  <c r="G103" i="46"/>
  <c r="G107" i="46"/>
  <c r="I102" i="46"/>
  <c r="I107" i="46"/>
  <c r="I104" i="46"/>
  <c r="I106" i="46"/>
  <c r="O16" i="1"/>
  <c r="P6" i="1"/>
  <c r="M19" i="6"/>
  <c r="S6" i="1"/>
  <c r="K27" i="6"/>
  <c r="C103" i="46"/>
  <c r="C105" i="46"/>
  <c r="C107" i="46"/>
  <c r="C102" i="46"/>
  <c r="C104" i="46"/>
  <c r="C106" i="46"/>
  <c r="C109" i="46"/>
  <c r="L38" i="9"/>
  <c r="B14" i="66" s="1"/>
  <c r="B1" i="66" s="1"/>
  <c r="D16" i="12"/>
  <c r="D16" i="43"/>
  <c r="C16" i="43" s="1"/>
  <c r="E6" i="6"/>
  <c r="C21" i="4"/>
  <c r="O5" i="54" s="1"/>
  <c r="B45" i="63" s="1"/>
  <c r="D10" i="11"/>
  <c r="D45" i="9"/>
  <c r="D46" i="9"/>
  <c r="A3" i="55"/>
  <c r="B56" i="63" s="1"/>
  <c r="B38" i="63"/>
  <c r="C4" i="4"/>
  <c r="B20" i="55" s="1"/>
  <c r="B70" i="63" s="1"/>
  <c r="L47" i="44"/>
  <c r="E70" i="39"/>
  <c r="D72" i="39"/>
  <c r="J7" i="33"/>
  <c r="W7" i="34"/>
  <c r="AC7" i="34"/>
  <c r="V49" i="34" s="1"/>
  <c r="I49" i="34" s="1"/>
  <c r="S7" i="34"/>
  <c r="AA7" i="34"/>
  <c r="R49" i="34" s="1"/>
  <c r="AB7" i="36"/>
  <c r="T36" i="36" s="1"/>
  <c r="G36" i="36" s="1"/>
  <c r="U7" i="36"/>
  <c r="AA7" i="37"/>
  <c r="R42" i="37" s="1"/>
  <c r="S7" i="37"/>
  <c r="W7" i="37"/>
  <c r="AC7" i="37"/>
  <c r="V42" i="37" s="1"/>
  <c r="I42" i="37" s="1"/>
  <c r="AB7" i="35"/>
  <c r="U7" i="35"/>
  <c r="AA7" i="35"/>
  <c r="S7" i="35"/>
  <c r="AA7" i="36"/>
  <c r="R36" i="36" s="1"/>
  <c r="S7" i="36"/>
  <c r="C33" i="46"/>
  <c r="T8" i="46"/>
  <c r="V8" i="46" s="1"/>
  <c r="T10" i="46"/>
  <c r="V10" i="46" s="1"/>
  <c r="T12" i="46"/>
  <c r="V12" i="46" s="1"/>
  <c r="T14" i="46"/>
  <c r="V14" i="46" s="1"/>
  <c r="T16" i="46"/>
  <c r="V16" i="46" s="1"/>
  <c r="T9" i="46"/>
  <c r="V9" i="46" s="1"/>
  <c r="T11" i="46"/>
  <c r="V11" i="46" s="1"/>
  <c r="T13" i="46"/>
  <c r="V13" i="46" s="1"/>
  <c r="T15" i="46"/>
  <c r="V15" i="46" s="1"/>
  <c r="C39" i="46"/>
  <c r="C38" i="46"/>
  <c r="C37" i="46"/>
  <c r="C36" i="46"/>
  <c r="C35" i="46"/>
  <c r="C34" i="46"/>
  <c r="F7" i="33"/>
  <c r="H7" i="33"/>
  <c r="AB7" i="34"/>
  <c r="T49" i="34" s="1"/>
  <c r="G49" i="34" s="1"/>
  <c r="U7" i="34"/>
  <c r="W7" i="36"/>
  <c r="AC7" i="36"/>
  <c r="V36" i="36" s="1"/>
  <c r="I36" i="36" s="1"/>
  <c r="AB7" i="37"/>
  <c r="T42" i="37" s="1"/>
  <c r="G42" i="37" s="1"/>
  <c r="U7" i="37"/>
  <c r="AC7" i="35"/>
  <c r="V38" i="35" s="1"/>
  <c r="I38" i="35" s="1"/>
  <c r="W7" i="35"/>
  <c r="K67" i="40"/>
  <c r="L65" i="40"/>
  <c r="F17" i="11"/>
  <c r="C17" i="11" s="1"/>
  <c r="C19" i="11" s="1"/>
  <c r="F1" i="15"/>
  <c r="Q53" i="15"/>
  <c r="F11" i="15"/>
  <c r="F13" i="44"/>
  <c r="C12" i="44" s="1"/>
  <c r="C7" i="44" s="1"/>
  <c r="M11" i="15"/>
  <c r="J10" i="15" s="1"/>
  <c r="M13" i="44"/>
  <c r="J12" i="44" s="1"/>
  <c r="J7" i="44" s="1"/>
  <c r="Q75" i="44"/>
  <c r="Q62" i="44"/>
  <c r="F1" i="44"/>
  <c r="Q54" i="44"/>
  <c r="Q75" i="15"/>
  <c r="Q62" i="15"/>
  <c r="Q63" i="44"/>
  <c r="Q76" i="44"/>
  <c r="O17" i="46"/>
  <c r="M17" i="46"/>
  <c r="P17" i="46"/>
  <c r="N17" i="46"/>
  <c r="Q74" i="15"/>
  <c r="Q61" i="15"/>
  <c r="AE7" i="1"/>
  <c r="C17" i="15"/>
  <c r="H12" i="40" l="1"/>
  <c r="F26" i="12"/>
  <c r="C27" i="12" s="1"/>
  <c r="D26" i="12" s="1"/>
  <c r="C32" i="12" s="1"/>
  <c r="D30" i="12" s="1"/>
  <c r="J12" i="39"/>
  <c r="H12" i="39"/>
  <c r="F12" i="40"/>
  <c r="S12" i="40" s="1"/>
  <c r="F12" i="39"/>
  <c r="J5" i="15"/>
  <c r="J18" i="15" s="1"/>
  <c r="F26" i="44"/>
  <c r="C26" i="44" s="1"/>
  <c r="I103" i="46"/>
  <c r="I105" i="46"/>
  <c r="G106" i="46"/>
  <c r="G105" i="46"/>
  <c r="G104" i="46"/>
  <c r="G109" i="46"/>
  <c r="L101" i="46"/>
  <c r="AF11" i="46"/>
  <c r="AF13" i="46" s="1"/>
  <c r="AC11" i="46"/>
  <c r="AC13" i="46" s="1"/>
  <c r="M101" i="46"/>
  <c r="AH11" i="46"/>
  <c r="AH13" i="46" s="1"/>
  <c r="H101" i="46"/>
  <c r="N101" i="46"/>
  <c r="AE11" i="46"/>
  <c r="AE13" i="46" s="1"/>
  <c r="AG11" i="46"/>
  <c r="AG13" i="46" s="1"/>
  <c r="B113" i="46"/>
  <c r="D101" i="46"/>
  <c r="C11" i="21"/>
  <c r="H13" i="39"/>
  <c r="J13" i="39"/>
  <c r="F13" i="39"/>
  <c r="AJ11" i="46"/>
  <c r="AJ13" i="46" s="1"/>
  <c r="F101" i="46"/>
  <c r="AI11" i="46"/>
  <c r="AI13" i="46" s="1"/>
  <c r="H22" i="46"/>
  <c r="E101" i="46"/>
  <c r="G22" i="46"/>
  <c r="E22" i="46"/>
  <c r="C23" i="46"/>
  <c r="C21" i="46" s="1"/>
  <c r="C29" i="46" s="1"/>
  <c r="E29" i="46" s="1"/>
  <c r="F21" i="43"/>
  <c r="C23" i="43" s="1"/>
  <c r="D21" i="43" s="1"/>
  <c r="AA16" i="35"/>
  <c r="S16" i="35"/>
  <c r="U16" i="35"/>
  <c r="AB16" i="35"/>
  <c r="R38" i="35"/>
  <c r="T38" i="35"/>
  <c r="G38" i="35" s="1"/>
  <c r="G43" i="35" s="1"/>
  <c r="H43" i="35" s="1"/>
  <c r="W23" i="21"/>
  <c r="AC23" i="21"/>
  <c r="W19" i="39"/>
  <c r="AC19" i="39"/>
  <c r="K105" i="46"/>
  <c r="J107" i="46"/>
  <c r="K107" i="46"/>
  <c r="K109" i="46"/>
  <c r="J106" i="46"/>
  <c r="J105" i="46"/>
  <c r="K102" i="46"/>
  <c r="K103" i="46"/>
  <c r="J109" i="46"/>
  <c r="J102" i="46"/>
  <c r="AO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M6" i="3"/>
  <c r="E475" i="3"/>
  <c r="E421" i="3"/>
  <c r="E206" i="3"/>
  <c r="E132" i="3"/>
  <c r="E333" i="3"/>
  <c r="E91" i="3"/>
  <c r="E115" i="3"/>
  <c r="E359" i="3"/>
  <c r="E195" i="3"/>
  <c r="E391" i="3"/>
  <c r="E321" i="3"/>
  <c r="E127" i="3"/>
  <c r="E266" i="3"/>
  <c r="E215" i="3"/>
  <c r="I6" i="3"/>
  <c r="E548" i="3"/>
  <c r="Z6" i="3"/>
  <c r="E454" i="3"/>
  <c r="E52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241" i="3"/>
  <c r="E446" i="3"/>
  <c r="E437" i="3"/>
  <c r="E221" i="3"/>
  <c r="E31" i="3"/>
  <c r="AA6" i="3"/>
  <c r="E299" i="3"/>
  <c r="E103" i="3"/>
  <c r="E62" i="3"/>
  <c r="E230" i="3"/>
  <c r="E274" i="3"/>
  <c r="E32" i="3"/>
  <c r="E547" i="3"/>
  <c r="E447" i="3"/>
  <c r="E33" i="3"/>
  <c r="Q6" i="3"/>
  <c r="E119" i="3"/>
  <c r="E500" i="3"/>
  <c r="E97" i="3"/>
  <c r="AE6" i="3"/>
  <c r="E289" i="3"/>
  <c r="E113" i="3"/>
  <c r="E425" i="3"/>
  <c r="E257" i="3"/>
  <c r="E166" i="3"/>
  <c r="O6" i="3"/>
  <c r="E204" i="3"/>
  <c r="E207" i="3"/>
  <c r="E449" i="3"/>
  <c r="E196" i="3"/>
  <c r="E259" i="3"/>
  <c r="E308" i="3"/>
  <c r="E416" i="3"/>
  <c r="E96" i="3"/>
  <c r="E160" i="3"/>
  <c r="E242" i="3"/>
  <c r="E133" i="3"/>
  <c r="E87" i="3"/>
  <c r="E458" i="3"/>
  <c r="E29" i="3"/>
  <c r="E256" i="3"/>
  <c r="E491"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9" i="3"/>
  <c r="E152" i="3"/>
  <c r="E46" i="3"/>
  <c r="E457" i="3"/>
  <c r="X6" i="3"/>
  <c r="AD6" i="3"/>
  <c r="E327" i="3"/>
  <c r="E200" i="3"/>
  <c r="E389" i="3"/>
  <c r="E57" i="3"/>
  <c r="E463" i="3"/>
  <c r="E292" i="3"/>
  <c r="E426" i="3"/>
  <c r="E60" i="3"/>
  <c r="E75" i="3"/>
  <c r="E178" i="3"/>
  <c r="J6" i="3"/>
  <c r="E48" i="3"/>
  <c r="E438" i="3"/>
  <c r="E455" i="3"/>
  <c r="E363" i="3"/>
  <c r="E79" i="3"/>
  <c r="E401" i="3"/>
  <c r="E272" i="3"/>
  <c r="E102" i="3"/>
  <c r="E25" i="3"/>
  <c r="E258" i="3"/>
  <c r="E479" i="3"/>
  <c r="E43" i="3"/>
  <c r="E276" i="3"/>
  <c r="E370" i="3"/>
  <c r="E526" i="3"/>
  <c r="E477" i="3"/>
  <c r="E540" i="3"/>
  <c r="E134" i="3"/>
  <c r="AI6" i="3"/>
  <c r="E239" i="3"/>
  <c r="E234" i="3"/>
  <c r="E128" i="3"/>
  <c r="E176" i="3"/>
  <c r="E554"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97" i="3"/>
  <c r="E413" i="3"/>
  <c r="E86" i="3"/>
  <c r="E561" i="3"/>
  <c r="AY6" i="3"/>
  <c r="C14" i="43"/>
  <c r="C17" i="43"/>
  <c r="D22" i="12"/>
  <c r="C22" i="12" s="1"/>
  <c r="C20" i="12" s="1"/>
  <c r="D13" i="11"/>
  <c r="C13" i="11" s="1"/>
  <c r="C16" i="12"/>
  <c r="D19" i="12"/>
  <c r="C19" i="12" s="1"/>
  <c r="S16" i="1"/>
  <c r="T6" i="1" s="1"/>
  <c r="P16" i="1"/>
  <c r="C13" i="12" s="1"/>
  <c r="C15" i="12"/>
  <c r="C7" i="66"/>
  <c r="C8" i="66"/>
  <c r="M27" i="6"/>
  <c r="I19" i="6"/>
  <c r="M65" i="40"/>
  <c r="L67" i="40"/>
  <c r="I40" i="36"/>
  <c r="J40" i="36" s="1"/>
  <c r="I42" i="35"/>
  <c r="J42" i="35" s="1"/>
  <c r="G46" i="37"/>
  <c r="H46" i="37" s="1"/>
  <c r="G47" i="37"/>
  <c r="H47" i="37" s="1"/>
  <c r="G54" i="34"/>
  <c r="H54" i="34" s="1"/>
  <c r="G53" i="34"/>
  <c r="H53" i="34" s="1"/>
  <c r="AA7" i="33"/>
  <c r="R48" i="33" s="1"/>
  <c r="S7" i="33"/>
  <c r="G34" i="46"/>
  <c r="I34" i="46" s="1"/>
  <c r="E34" i="46"/>
  <c r="G36" i="46"/>
  <c r="I36" i="46" s="1"/>
  <c r="E36" i="46"/>
  <c r="G38" i="46"/>
  <c r="I38" i="46" s="1"/>
  <c r="E38" i="46"/>
  <c r="E36" i="36"/>
  <c r="I41" i="36" s="1"/>
  <c r="J41" i="36" s="1"/>
  <c r="R37" i="36"/>
  <c r="S12" i="39"/>
  <c r="AA12" i="39"/>
  <c r="W12" i="40"/>
  <c r="AC12" i="40"/>
  <c r="E38" i="35"/>
  <c r="G42" i="35"/>
  <c r="H42" i="35" s="1"/>
  <c r="E42" i="37"/>
  <c r="R43" i="37"/>
  <c r="G40" i="36"/>
  <c r="H40" i="36" s="1"/>
  <c r="G41" i="36"/>
  <c r="H41" i="36" s="1"/>
  <c r="AB7" i="33"/>
  <c r="T48" i="33" s="1"/>
  <c r="G48" i="33" s="1"/>
  <c r="U7" i="33"/>
  <c r="G35" i="46"/>
  <c r="I35" i="46" s="1"/>
  <c r="E35" i="46"/>
  <c r="G37" i="46"/>
  <c r="I37" i="46" s="1"/>
  <c r="E37" i="46"/>
  <c r="G39" i="46"/>
  <c r="I39" i="46" s="1"/>
  <c r="E39" i="46"/>
  <c r="E33" i="46"/>
  <c r="G33" i="46"/>
  <c r="I33" i="46" s="1"/>
  <c r="AC12" i="39"/>
  <c r="W12" i="39"/>
  <c r="AB12" i="40"/>
  <c r="U12" i="40"/>
  <c r="AB12" i="39"/>
  <c r="U12" i="39"/>
  <c r="I46" i="37"/>
  <c r="J46" i="37" s="1"/>
  <c r="I47" i="37"/>
  <c r="J47" i="37" s="1"/>
  <c r="R50" i="34"/>
  <c r="E49" i="34"/>
  <c r="I53" i="34"/>
  <c r="J53" i="34" s="1"/>
  <c r="I54" i="34"/>
  <c r="J54" i="34" s="1"/>
  <c r="AC7" i="33"/>
  <c r="V48" i="33" s="1"/>
  <c r="I48" i="33" s="1"/>
  <c r="W7" i="33"/>
  <c r="E72" i="39"/>
  <c r="F70" i="39"/>
  <c r="J26" i="44"/>
  <c r="J20" i="44"/>
  <c r="J28" i="44"/>
  <c r="J31" i="44" s="1"/>
  <c r="C40" i="44"/>
  <c r="C34" i="44"/>
  <c r="C10" i="15"/>
  <c r="C5" i="15" s="1"/>
  <c r="C52" i="15"/>
  <c r="C47" i="15" s="1"/>
  <c r="C20" i="11"/>
  <c r="C21" i="11" s="1"/>
  <c r="C22" i="11" s="1"/>
  <c r="C23" i="11" s="1"/>
  <c r="B2" i="11" s="1"/>
  <c r="J24" i="15"/>
  <c r="J26" i="15"/>
  <c r="L52" i="44"/>
  <c r="F41" i="15"/>
  <c r="AA12" i="40" l="1"/>
  <c r="C30" i="46"/>
  <c r="E30" i="46" s="1"/>
  <c r="R39" i="35"/>
  <c r="C38" i="35" s="1"/>
  <c r="E8" i="12" s="1"/>
  <c r="E10" i="12" s="1"/>
  <c r="F103" i="46"/>
  <c r="F107" i="46"/>
  <c r="F104" i="46"/>
  <c r="F109" i="46"/>
  <c r="F105" i="46"/>
  <c r="F102" i="46"/>
  <c r="F106" i="46"/>
  <c r="AA13" i="39"/>
  <c r="S13" i="39"/>
  <c r="AB13" i="39"/>
  <c r="U13" i="39"/>
  <c r="D105" i="46"/>
  <c r="D102" i="46"/>
  <c r="D106" i="46"/>
  <c r="D103" i="46"/>
  <c r="D107" i="46"/>
  <c r="D104" i="46"/>
  <c r="D109" i="46"/>
  <c r="N105" i="46"/>
  <c r="N107" i="46"/>
  <c r="N104" i="46"/>
  <c r="N109" i="46"/>
  <c r="N102" i="46"/>
  <c r="N103" i="46"/>
  <c r="N106" i="46"/>
  <c r="L102" i="46"/>
  <c r="L104" i="46"/>
  <c r="L107" i="46"/>
  <c r="L103" i="46"/>
  <c r="L105" i="46"/>
  <c r="L106" i="46"/>
  <c r="L109" i="46"/>
  <c r="D22" i="46"/>
  <c r="E105" i="46"/>
  <c r="E102" i="46"/>
  <c r="E106" i="46"/>
  <c r="E103" i="46"/>
  <c r="E107" i="46"/>
  <c r="E104" i="46"/>
  <c r="E109" i="46"/>
  <c r="AC13" i="39"/>
  <c r="W13" i="39"/>
  <c r="F11" i="21"/>
  <c r="J11" i="21"/>
  <c r="H11" i="21"/>
  <c r="B116" i="46"/>
  <c r="C116" i="46" s="1"/>
  <c r="B118" i="46"/>
  <c r="C118" i="46" s="1"/>
  <c r="I117" i="46"/>
  <c r="J117" i="46" s="1"/>
  <c r="K117" i="46" s="1"/>
  <c r="L117" i="46" s="1"/>
  <c r="M117" i="46" s="1"/>
  <c r="D116" i="46"/>
  <c r="E116" i="46" s="1"/>
  <c r="F116" i="46" s="1"/>
  <c r="G116" i="46" s="1"/>
  <c r="H116" i="46" s="1"/>
  <c r="D118" i="46"/>
  <c r="E118" i="46" s="1"/>
  <c r="F118" i="46" s="1"/>
  <c r="G118" i="46"/>
  <c r="H118" i="46" s="1"/>
  <c r="B115" i="46"/>
  <c r="C115" i="46" s="1"/>
  <c r="B117" i="46"/>
  <c r="C117" i="46" s="1"/>
  <c r="I115" i="46"/>
  <c r="J115" i="46" s="1"/>
  <c r="K115" i="46" s="1"/>
  <c r="L115" i="46" s="1"/>
  <c r="M115" i="46" s="1"/>
  <c r="D115" i="46"/>
  <c r="E115" i="46" s="1"/>
  <c r="F115" i="46" s="1"/>
  <c r="G115" i="46" s="1"/>
  <c r="H115" i="46" s="1"/>
  <c r="D117" i="46"/>
  <c r="E117" i="46" s="1"/>
  <c r="F117" i="46" s="1"/>
  <c r="G117" i="46" s="1"/>
  <c r="H117" i="46" s="1"/>
  <c r="I116" i="46"/>
  <c r="J116" i="46" s="1"/>
  <c r="K116" i="46" s="1"/>
  <c r="L116" i="46" s="1"/>
  <c r="M116" i="46" s="1"/>
  <c r="I118" i="46"/>
  <c r="J118" i="46" s="1"/>
  <c r="K118" i="46" s="1"/>
  <c r="L118" i="46" s="1"/>
  <c r="M118" i="46" s="1"/>
  <c r="H102" i="46"/>
  <c r="H103" i="46"/>
  <c r="H105" i="46"/>
  <c r="H109" i="46"/>
  <c r="H107" i="46"/>
  <c r="H104" i="46"/>
  <c r="H106" i="46"/>
  <c r="M107" i="46"/>
  <c r="M109" i="46"/>
  <c r="M104" i="46"/>
  <c r="M105" i="46"/>
  <c r="M102" i="46"/>
  <c r="M106" i="46"/>
  <c r="M103" i="46"/>
  <c r="F68" i="15"/>
  <c r="J29" i="15"/>
  <c r="AY13" i="3"/>
  <c r="D3" i="6"/>
  <c r="H19" i="6" s="1"/>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82" i="3"/>
  <c r="AY41" i="3"/>
  <c r="AY128" i="3"/>
  <c r="AY36" i="3"/>
  <c r="AY246" i="3"/>
  <c r="AY333" i="3"/>
  <c r="AY408" i="3"/>
  <c r="AY117" i="3"/>
  <c r="AY374" i="3"/>
  <c r="AY123" i="3"/>
  <c r="AY183" i="3"/>
  <c r="AY337" i="3"/>
  <c r="AY25" i="3"/>
  <c r="AY341" i="3"/>
  <c r="AY197" i="3"/>
  <c r="AY76" i="3"/>
  <c r="AY321"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496" i="3"/>
  <c r="AY521" i="3"/>
  <c r="AY474" i="3"/>
  <c r="AY354" i="3"/>
  <c r="AY482" i="3"/>
  <c r="BE6" i="3"/>
  <c r="AY441" i="3"/>
  <c r="AY121" i="3"/>
  <c r="AY491" i="3"/>
  <c r="AY508" i="3"/>
  <c r="AY549" i="3"/>
  <c r="AY69" i="3"/>
  <c r="AY109" i="3"/>
  <c r="AY129" i="3"/>
  <c r="AY104" i="3"/>
  <c r="AY158" i="3"/>
  <c r="AY290" i="3"/>
  <c r="AY443" i="3"/>
  <c r="AY96" i="3"/>
  <c r="AY233" i="3"/>
  <c r="AY329" i="3"/>
  <c r="AY131" i="3"/>
  <c r="AY206" i="3"/>
  <c r="AY520" i="3"/>
  <c r="AY147" i="3"/>
  <c r="AY561" i="3"/>
  <c r="AY166" i="3"/>
  <c r="AY413" i="3"/>
  <c r="AY211" i="3"/>
  <c r="AY437" i="3"/>
  <c r="AY465" i="3"/>
  <c r="AY544" i="3"/>
  <c r="BH6" i="3"/>
  <c r="AY493" i="3"/>
  <c r="AY370" i="3"/>
  <c r="AY531" i="3"/>
  <c r="AY388" i="3"/>
  <c r="AY239" i="3"/>
  <c r="AY485" i="3"/>
  <c r="AY565" i="3"/>
  <c r="AY198" i="3"/>
  <c r="AY77" i="3"/>
  <c r="AY218" i="3"/>
  <c r="AY368" i="3"/>
  <c r="AY392" i="3"/>
  <c r="AY176" i="3"/>
  <c r="AY356" i="3"/>
  <c r="AY44" i="3"/>
  <c r="AY288" i="3"/>
  <c r="AY318" i="3"/>
  <c r="AY249" i="3"/>
  <c r="AY446" i="3"/>
  <c r="AY380" i="3"/>
  <c r="AY319" i="3"/>
  <c r="BQ6" i="3"/>
  <c r="BT6" i="3"/>
  <c r="AY151" i="3"/>
  <c r="AY323" i="3"/>
  <c r="AY360" i="3"/>
  <c r="AY86" i="3"/>
  <c r="AY24" i="3"/>
  <c r="AY431" i="3"/>
  <c r="AY137"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507"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37" i="3"/>
  <c r="AY203" i="3"/>
  <c r="AY95" i="3"/>
  <c r="AY150" i="3"/>
  <c r="AY216" i="3"/>
  <c r="AY432" i="3"/>
  <c r="AY28" i="3"/>
  <c r="AY280" i="3"/>
  <c r="AY311" i="3"/>
  <c r="AY172" i="3"/>
  <c r="AY257" i="3"/>
  <c r="BS6" i="3"/>
  <c r="AY254" i="3"/>
  <c r="AY394" i="3"/>
  <c r="AY359" i="3"/>
  <c r="AY2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536" i="3"/>
  <c r="AY180" i="3"/>
  <c r="BJ6" i="3"/>
  <c r="AY477" i="3"/>
  <c r="AY517" i="3"/>
  <c r="AY292" i="3"/>
  <c r="AY535" i="3"/>
  <c r="AY452" i="3"/>
  <c r="AY523" i="3"/>
  <c r="AY530" i="3"/>
  <c r="AY87" i="3"/>
  <c r="AY88" i="3"/>
  <c r="AY26" i="3"/>
  <c r="AY529" i="3"/>
  <c r="AY34" i="3"/>
  <c r="AY259" i="3"/>
  <c r="AY309" i="3"/>
  <c r="AY409" i="3"/>
  <c r="AY171" i="3"/>
  <c r="AY365" i="3"/>
  <c r="AY471" i="3"/>
  <c r="AY138" i="3"/>
  <c r="AY316" i="3"/>
  <c r="BA6" i="3"/>
  <c r="AY283" i="3"/>
  <c r="AY453" i="3"/>
  <c r="AY225" i="3"/>
  <c r="AY22" i="3"/>
  <c r="AY14" i="3"/>
  <c r="AY430" i="3"/>
  <c r="AY378" i="3"/>
  <c r="AY314" i="3"/>
  <c r="AY193" i="3"/>
  <c r="AY245" i="3"/>
  <c r="AY127" i="3"/>
  <c r="AY32" i="3"/>
  <c r="BN6" i="3"/>
  <c r="AY407" i="3"/>
  <c r="AY518" i="3"/>
  <c r="AY97" i="3"/>
  <c r="AY142" i="3"/>
  <c r="AY145" i="3"/>
  <c r="AY248" i="3"/>
  <c r="AY472" i="3"/>
  <c r="AY46" i="3"/>
  <c r="AY219" i="3"/>
  <c r="AY569" i="3"/>
  <c r="AY148" i="3"/>
  <c r="AY371" i="3"/>
  <c r="AY29" i="3"/>
  <c r="AY367" i="3"/>
  <c r="AY162" i="3"/>
  <c r="AY103" i="3"/>
  <c r="AY184" i="3"/>
  <c r="AY396" i="3"/>
  <c r="AY221" i="3"/>
  <c r="AY320" i="3"/>
  <c r="AY268" i="3"/>
  <c r="AY456" i="3"/>
  <c r="AY140" i="3"/>
  <c r="AY461" i="3"/>
  <c r="AY66" i="3"/>
  <c r="AY186" i="3"/>
  <c r="AY222" i="3"/>
  <c r="AY540" i="3"/>
  <c r="AY505" i="3"/>
  <c r="AY563" i="3"/>
  <c r="AY357" i="3"/>
  <c r="AY84" i="3"/>
  <c r="AY377" i="3"/>
  <c r="AY164" i="3"/>
  <c r="AY177" i="3"/>
  <c r="AY524" i="3"/>
  <c r="AY300" i="3"/>
  <c r="BP6" i="3"/>
  <c r="AY553" i="3"/>
  <c r="AY480" i="3"/>
  <c r="AY90" i="3"/>
  <c r="AY358" i="3"/>
  <c r="AY344" i="3"/>
  <c r="AY223" i="3"/>
  <c r="AY190" i="3"/>
  <c r="AY235" i="3"/>
  <c r="AY421" i="3"/>
  <c r="AY205" i="3"/>
  <c r="BM6" i="3"/>
  <c r="AY423" i="3"/>
  <c r="AY18" i="3"/>
  <c r="AY562" i="3"/>
  <c r="AY406" i="3"/>
  <c r="AY303" i="3"/>
  <c r="AY27" i="3"/>
  <c r="AY498" i="3"/>
  <c r="AY552" i="3"/>
  <c r="AY527" i="3"/>
  <c r="AY519" i="3"/>
  <c r="AY325" i="3"/>
  <c r="BF6" i="3"/>
  <c r="AY390" i="3"/>
  <c r="AY484" i="3"/>
  <c r="AY17" i="3"/>
  <c r="AY68" i="3"/>
  <c r="AY133" i="3"/>
  <c r="AY468" i="3"/>
  <c r="BI6" i="3"/>
  <c r="AY469" i="3"/>
  <c r="AY263" i="3"/>
  <c r="AY231" i="3"/>
  <c r="AY244" i="3"/>
  <c r="AY399" i="3"/>
  <c r="AY199" i="3"/>
  <c r="AY174" i="3"/>
  <c r="AY351" i="3"/>
  <c r="AY328" i="3"/>
  <c r="AY63" i="3"/>
  <c r="AY71" i="3"/>
  <c r="AY440" i="3"/>
  <c r="AY195" i="3"/>
  <c r="AY362" i="3"/>
  <c r="AY252" i="3"/>
  <c r="AY260" i="3"/>
  <c r="AY228" i="3"/>
  <c r="H6" i="3"/>
  <c r="AC6" i="3"/>
  <c r="C18" i="43"/>
  <c r="C19" i="43" s="1"/>
  <c r="S19" i="6"/>
  <c r="S27" i="6" s="1"/>
  <c r="I27" i="6"/>
  <c r="C14" i="12"/>
  <c r="C17" i="12"/>
  <c r="T13" i="1"/>
  <c r="T10" i="1"/>
  <c r="T8" i="1"/>
  <c r="T7" i="1"/>
  <c r="T9" i="1"/>
  <c r="T12" i="1"/>
  <c r="T11" i="1"/>
  <c r="G70" i="39"/>
  <c r="F72" i="39"/>
  <c r="E54" i="34"/>
  <c r="F54" i="34" s="1"/>
  <c r="E53" i="34"/>
  <c r="F53" i="34" s="1"/>
  <c r="C43" i="37"/>
  <c r="B3" i="37" s="1"/>
  <c r="B2" i="37" s="1"/>
  <c r="C42" i="37"/>
  <c r="E43" i="35"/>
  <c r="F43" i="35" s="1"/>
  <c r="E42" i="35"/>
  <c r="F42" i="35" s="1"/>
  <c r="C36" i="36"/>
  <c r="C37" i="36"/>
  <c r="B3" i="36" s="1"/>
  <c r="B2" i="36" s="1"/>
  <c r="C26" i="46"/>
  <c r="I43" i="35"/>
  <c r="J43" i="35" s="1"/>
  <c r="I52" i="33"/>
  <c r="J52" i="33" s="1"/>
  <c r="I53" i="33"/>
  <c r="J53" i="33" s="1"/>
  <c r="C50" i="34"/>
  <c r="B3" i="34" s="1"/>
  <c r="B2" i="34" s="1"/>
  <c r="C49" i="34"/>
  <c r="G52" i="33"/>
  <c r="H52" i="33" s="1"/>
  <c r="G53" i="33"/>
  <c r="H53" i="33" s="1"/>
  <c r="E46" i="37"/>
  <c r="F46" i="37" s="1"/>
  <c r="E47" i="37"/>
  <c r="F47" i="37" s="1"/>
  <c r="C39" i="35"/>
  <c r="E40" i="36"/>
  <c r="F40" i="36" s="1"/>
  <c r="E41" i="36"/>
  <c r="F41" i="36" s="1"/>
  <c r="C27" i="46"/>
  <c r="R49" i="33"/>
  <c r="E48" i="33"/>
  <c r="N65" i="40"/>
  <c r="N67" i="40" s="1"/>
  <c r="M67" i="40"/>
  <c r="Q69" i="44"/>
  <c r="L58" i="44"/>
  <c r="L61" i="44" s="1"/>
  <c r="B3" i="11"/>
  <c r="B4" i="11"/>
  <c r="C59" i="15"/>
  <c r="C65" i="15"/>
  <c r="Q67" i="44"/>
  <c r="Q49" i="44"/>
  <c r="Q55" i="44" s="1"/>
  <c r="Q58" i="44"/>
  <c r="C38" i="15"/>
  <c r="C32" i="15"/>
  <c r="C16" i="44"/>
  <c r="C14" i="15"/>
  <c r="F7" i="67"/>
  <c r="E7" i="67"/>
  <c r="B5" i="11" l="1"/>
  <c r="E4" i="67"/>
  <c r="D113" i="46"/>
  <c r="AC11" i="21"/>
  <c r="W11" i="21"/>
  <c r="AB11" i="21"/>
  <c r="U11" i="21"/>
  <c r="AA11" i="21"/>
  <c r="S11" i="21"/>
  <c r="S7" i="46"/>
  <c r="T7" i="46" s="1"/>
  <c r="V7" i="46" s="1"/>
  <c r="S2" i="46"/>
  <c r="T2" i="46" s="1"/>
  <c r="V2" i="46" s="1"/>
  <c r="S3" i="46"/>
  <c r="T3" i="46" s="1"/>
  <c r="V3" i="46" s="1"/>
  <c r="S4" i="46"/>
  <c r="T4" i="46" s="1"/>
  <c r="V4" i="46" s="1"/>
  <c r="S5" i="46"/>
  <c r="T5" i="46" s="1"/>
  <c r="V5" i="46" s="1"/>
  <c r="S6" i="46"/>
  <c r="T6" i="46" s="1"/>
  <c r="V6" i="46" s="1"/>
  <c r="E6" i="3"/>
  <c r="C40" i="39"/>
  <c r="D19" i="6"/>
  <c r="D25" i="6"/>
  <c r="D13" i="6"/>
  <c r="H24" i="6"/>
  <c r="D23" i="6"/>
  <c r="D28" i="6"/>
  <c r="D8" i="6"/>
  <c r="E45" i="9"/>
  <c r="F46" i="9"/>
  <c r="D24" i="6"/>
  <c r="R24" i="6" s="1"/>
  <c r="D12" i="6"/>
  <c r="D5" i="6"/>
  <c r="D15" i="6"/>
  <c r="C22" i="4"/>
  <c r="D11" i="6"/>
  <c r="D9" i="6"/>
  <c r="H26" i="6"/>
  <c r="K38" i="9"/>
  <c r="C14" i="66" s="1"/>
  <c r="B2" i="66" s="1"/>
  <c r="D21" i="6"/>
  <c r="D10" i="6"/>
  <c r="H21" i="6"/>
  <c r="D6" i="6"/>
  <c r="D14" i="6"/>
  <c r="D20" i="6"/>
  <c r="H23" i="6"/>
  <c r="F45" i="9"/>
  <c r="E46" i="9"/>
  <c r="D22" i="6"/>
  <c r="H25" i="6"/>
  <c r="H22" i="6"/>
  <c r="E63" i="40"/>
  <c r="D26" i="6"/>
  <c r="H20" i="6"/>
  <c r="D29" i="6"/>
  <c r="C25" i="43"/>
  <c r="C24" i="43" s="1"/>
  <c r="C22" i="43"/>
  <c r="C21" i="43" s="1"/>
  <c r="C20" i="44"/>
  <c r="C17" i="44"/>
  <c r="C15" i="15"/>
  <c r="C18" i="15"/>
  <c r="C18" i="12"/>
  <c r="T16" i="1"/>
  <c r="R19" i="6"/>
  <c r="E3" i="67"/>
  <c r="C49" i="33"/>
  <c r="B3" i="33" s="1"/>
  <c r="B2" i="33" s="1"/>
  <c r="C48" i="33"/>
  <c r="H9" i="40"/>
  <c r="F9" i="40"/>
  <c r="J9" i="40"/>
  <c r="E52" i="33"/>
  <c r="F52" i="33" s="1"/>
  <c r="E53" i="33"/>
  <c r="F53" i="33" s="1"/>
  <c r="B2" i="46"/>
  <c r="G72" i="39"/>
  <c r="H70" i="39"/>
  <c r="Q68" i="44"/>
  <c r="Q77" i="44" s="1"/>
  <c r="Q59" i="44"/>
  <c r="Q64" i="44" s="1"/>
  <c r="B7" i="67"/>
  <c r="C28" i="43" l="1"/>
  <c r="C30" i="43" s="1"/>
  <c r="C32" i="43" s="1"/>
  <c r="B2" i="43" s="1"/>
  <c r="B5" i="43" s="1"/>
  <c r="R26" i="6"/>
  <c r="H27" i="6"/>
  <c r="R21" i="6"/>
  <c r="R8" i="1" s="1"/>
  <c r="D16" i="6"/>
  <c r="R23" i="6"/>
  <c r="D27" i="6"/>
  <c r="R22" i="6"/>
  <c r="R20" i="6"/>
  <c r="R7" i="1" s="1"/>
  <c r="D7" i="66"/>
  <c r="D8" i="66"/>
  <c r="A6" i="51"/>
  <c r="B7" i="63" s="1"/>
  <c r="A20" i="64"/>
  <c r="A20" i="51"/>
  <c r="B15" i="63" s="1"/>
  <c r="A6" i="64"/>
  <c r="N5" i="54"/>
  <c r="B43" i="63" s="1"/>
  <c r="D30" i="6"/>
  <c r="R25" i="6"/>
  <c r="J40" i="39"/>
  <c r="F40" i="39"/>
  <c r="H40" i="39"/>
  <c r="C19" i="15"/>
  <c r="C21" i="44"/>
  <c r="C22" i="44" s="1"/>
  <c r="C25" i="44" s="1"/>
  <c r="C20" i="15"/>
  <c r="C23" i="15" s="1"/>
  <c r="R6" i="1"/>
  <c r="R16" i="1" s="1"/>
  <c r="C23" i="12"/>
  <c r="B2" i="67"/>
  <c r="AC9" i="40"/>
  <c r="V44" i="40" s="1"/>
  <c r="I44" i="40" s="1"/>
  <c r="W9" i="40"/>
  <c r="AB9" i="40"/>
  <c r="T44" i="40" s="1"/>
  <c r="G44" i="40" s="1"/>
  <c r="U9" i="40"/>
  <c r="H72" i="39"/>
  <c r="I70" i="39"/>
  <c r="D4" i="46"/>
  <c r="B3" i="46"/>
  <c r="B4" i="46"/>
  <c r="AA9" i="40"/>
  <c r="R44" i="40" s="1"/>
  <c r="S9" i="40"/>
  <c r="M21" i="15"/>
  <c r="F35" i="15"/>
  <c r="J20" i="15" l="1"/>
  <c r="C34" i="15"/>
  <c r="F62" i="15"/>
  <c r="C61" i="15" s="1"/>
  <c r="R27" i="6"/>
  <c r="B4" i="43"/>
  <c r="B3" i="43"/>
  <c r="U40" i="39"/>
  <c r="AB40" i="39"/>
  <c r="W40" i="39"/>
  <c r="AC40" i="39"/>
  <c r="D31" i="6"/>
  <c r="S40" i="39"/>
  <c r="AA40" i="39"/>
  <c r="C26" i="15"/>
  <c r="C29" i="15" s="1"/>
  <c r="C56" i="15" s="1"/>
  <c r="C28" i="44"/>
  <c r="C31" i="44" s="1"/>
  <c r="G48" i="40"/>
  <c r="H48" i="40" s="1"/>
  <c r="G49" i="40"/>
  <c r="H49" i="40" s="1"/>
  <c r="I48" i="40"/>
  <c r="J48" i="40" s="1"/>
  <c r="E44" i="40"/>
  <c r="I49" i="40" s="1"/>
  <c r="J49" i="40" s="1"/>
  <c r="R45" i="40"/>
  <c r="I72" i="39"/>
  <c r="J70" i="39"/>
  <c r="B4" i="67"/>
  <c r="B3" i="67"/>
  <c r="C13" i="15" l="1"/>
  <c r="C55" i="15" s="1"/>
  <c r="C64" i="15" s="1"/>
  <c r="C33" i="15"/>
  <c r="C31" i="15" s="1"/>
  <c r="J59" i="15"/>
  <c r="J60" i="15" s="1"/>
  <c r="Q49" i="15" s="1"/>
  <c r="C36" i="15"/>
  <c r="I5" i="6"/>
  <c r="I6" i="6"/>
  <c r="J19" i="15"/>
  <c r="J17" i="15" s="1"/>
  <c r="Q50" i="15"/>
  <c r="J14" i="15"/>
  <c r="J22" i="15" s="1"/>
  <c r="J16" i="44"/>
  <c r="C15" i="44"/>
  <c r="C35" i="44"/>
  <c r="C33" i="44" s="1"/>
  <c r="J21" i="44"/>
  <c r="J19" i="44" s="1"/>
  <c r="Q51" i="44"/>
  <c r="C38" i="44"/>
  <c r="C63" i="15"/>
  <c r="C60" i="15"/>
  <c r="C58" i="15" s="1"/>
  <c r="J72" i="39"/>
  <c r="K70" i="39"/>
  <c r="C45" i="40"/>
  <c r="C44" i="40"/>
  <c r="E48" i="40"/>
  <c r="F48" i="40" s="1"/>
  <c r="E49" i="40"/>
  <c r="F49" i="40" s="1"/>
  <c r="Q71" i="15" l="1"/>
  <c r="J35" i="15"/>
  <c r="C37" i="15"/>
  <c r="C30" i="15" s="1"/>
  <c r="C39" i="15" s="1"/>
  <c r="Q70" i="15" s="1"/>
  <c r="Q69" i="15" s="1"/>
  <c r="J13" i="15"/>
  <c r="J23" i="15" s="1"/>
  <c r="C57" i="15"/>
  <c r="C66" i="15" s="1"/>
  <c r="C67" i="15" s="1"/>
  <c r="C70" i="15" s="1"/>
  <c r="J16" i="15"/>
  <c r="J25" i="15" s="1"/>
  <c r="C40" i="15"/>
  <c r="J15" i="44"/>
  <c r="J25" i="44" s="1"/>
  <c r="J24" i="44"/>
  <c r="C43" i="44"/>
  <c r="Q72" i="44"/>
  <c r="C39" i="44"/>
  <c r="C32" i="44" s="1"/>
  <c r="C42" i="44"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K72" i="39"/>
  <c r="L70" i="39"/>
  <c r="L51" i="15"/>
  <c r="J39" i="15" l="1"/>
  <c r="J40" i="15" s="1"/>
  <c r="L57" i="15"/>
  <c r="L60" i="15" s="1"/>
  <c r="Q58" i="15" s="1"/>
  <c r="Q68" i="15"/>
  <c r="J18" i="44"/>
  <c r="J27" i="44" s="1"/>
  <c r="C46" i="15"/>
  <c r="C44" i="44"/>
  <c r="C45" i="44" s="1"/>
  <c r="B2" i="44" s="1"/>
  <c r="Q71" i="44"/>
  <c r="Q70" i="44" s="1"/>
  <c r="Q66" i="15"/>
  <c r="Q48" i="15"/>
  <c r="Q54" i="15" s="1"/>
  <c r="C43" i="15"/>
  <c r="D8" i="12" s="1"/>
  <c r="Q57" i="15"/>
  <c r="J42" i="15"/>
  <c r="J43" i="15" s="1"/>
  <c r="L72" i="39"/>
  <c r="M70" i="39"/>
  <c r="B3" i="40"/>
  <c r="B5" i="40"/>
  <c r="B4" i="40"/>
  <c r="Q67" i="15" l="1"/>
  <c r="Q76" i="15" s="1"/>
  <c r="L46" i="15"/>
  <c r="B2" i="15" s="1"/>
  <c r="Q63" i="15"/>
  <c r="B3" i="44"/>
  <c r="B4" i="44"/>
  <c r="B5" i="44"/>
  <c r="N70" i="39"/>
  <c r="N72" i="39" s="1"/>
  <c r="M72" i="39"/>
  <c r="B3" i="15" l="1"/>
  <c r="D10" i="12"/>
  <c r="C6" i="12" s="1"/>
  <c r="H9" i="39"/>
  <c r="F9" i="39"/>
  <c r="J9" i="39"/>
  <c r="C24" i="12" l="1"/>
  <c r="C29" i="12"/>
  <c r="AA9" i="39"/>
  <c r="R49" i="39" s="1"/>
  <c r="S9" i="39"/>
  <c r="AC9" i="39"/>
  <c r="V49" i="39" s="1"/>
  <c r="I49" i="39" s="1"/>
  <c r="W9" i="39"/>
  <c r="AB9" i="39"/>
  <c r="T49" i="39" s="1"/>
  <c r="G49" i="39" s="1"/>
  <c r="U9" i="39"/>
  <c r="C35" i="12" l="1"/>
  <c r="C33" i="12" s="1"/>
  <c r="C28" i="12"/>
  <c r="C26" i="12" s="1"/>
  <c r="C31" i="12" s="1"/>
  <c r="C30" i="12" s="1"/>
  <c r="I53" i="39"/>
  <c r="J53" i="39" s="1"/>
  <c r="G53" i="39"/>
  <c r="H53" i="39" s="1"/>
  <c r="G54" i="39"/>
  <c r="H54" i="39" s="1"/>
  <c r="R50" i="39"/>
  <c r="E49" i="39"/>
  <c r="C36" i="12" l="1"/>
  <c r="B2" i="12" s="1"/>
  <c r="B4" i="12" s="1"/>
  <c r="C50" i="39"/>
  <c r="C49" i="39"/>
  <c r="E54" i="39"/>
  <c r="F54" i="39" s="1"/>
  <c r="E53" i="39"/>
  <c r="F53" i="39" s="1"/>
  <c r="I54" i="39"/>
  <c r="J54" i="39" s="1"/>
  <c r="D21" i="9"/>
  <c r="D19" i="9"/>
  <c r="B5" i="12" l="1"/>
  <c r="L44" i="9"/>
  <c r="B3" i="12"/>
  <c r="B58" i="39"/>
  <c r="F58" i="39" s="1"/>
  <c r="B59" i="39"/>
  <c r="F59" i="39" s="1"/>
  <c r="B60" i="39"/>
  <c r="F60" i="39" s="1"/>
  <c r="B61" i="39"/>
  <c r="F61" i="39" s="1"/>
  <c r="B62" i="39"/>
  <c r="F62" i="39" s="1"/>
  <c r="B63" i="39"/>
  <c r="F63" i="39" s="1"/>
  <c r="B64" i="39"/>
  <c r="F64" i="39" s="1"/>
  <c r="B65" i="39"/>
  <c r="F65" i="39" s="1"/>
  <c r="B66" i="39"/>
  <c r="F66" i="39" s="1"/>
  <c r="B67" i="39"/>
  <c r="F67" i="39" s="1"/>
  <c r="D20" i="9"/>
  <c r="F68" i="39" l="1"/>
  <c r="B2" i="39" s="1"/>
  <c r="C19" i="9"/>
  <c r="L43" i="9" l="1"/>
  <c r="G19" i="9"/>
  <c r="D22" i="9"/>
  <c r="B4" i="39"/>
  <c r="B3" i="39"/>
  <c r="B5" i="39"/>
  <c r="C20" i="9"/>
  <c r="C21" i="9"/>
  <c r="G21" i="9" l="1"/>
  <c r="G20" i="9"/>
  <c r="N43" i="9"/>
  <c r="C32" i="9"/>
  <c r="G22" i="9"/>
  <c r="C42" i="9" l="1"/>
  <c r="C35" i="9"/>
  <c r="F42" i="9" s="1"/>
  <c r="O38" i="9"/>
  <c r="C33" i="9"/>
  <c r="C34" i="9"/>
  <c r="O43" i="9"/>
  <c r="D42" i="9" l="1"/>
  <c r="Q5" i="54" s="1"/>
  <c r="B47" i="63" s="1"/>
  <c r="N38" i="9"/>
  <c r="K28" i="9" s="1"/>
  <c r="E42" i="9"/>
  <c r="P5" i="54" s="1"/>
  <c r="B46" i="63" s="1"/>
  <c r="M38" i="9"/>
  <c r="K27" i="9" s="1"/>
  <c r="K26" i="9"/>
  <c r="K25" i="9"/>
  <c r="R5" i="54"/>
  <c r="B48" i="63" s="1"/>
  <c r="D63" i="9"/>
  <c r="C44" i="9"/>
  <c r="D14" i="66"/>
  <c r="N68" i="9"/>
  <c r="B5" i="66" l="1"/>
  <c r="E14" i="66"/>
  <c r="F14" i="66"/>
  <c r="D71" i="9"/>
  <c r="D66" i="9" s="1"/>
  <c r="N72" i="9" s="1"/>
  <c r="D70" i="9"/>
  <c r="C96" i="9"/>
  <c r="C91" i="9" s="1"/>
  <c r="C90" i="9"/>
  <c r="D77" i="9"/>
  <c r="N75" i="9" s="1"/>
  <c r="C111" i="9"/>
  <c r="C104" i="9" s="1"/>
  <c r="C103" i="9"/>
  <c r="C82" i="9"/>
  <c r="C81" i="9" s="1"/>
  <c r="C85" i="9" s="1"/>
  <c r="C86" i="9" s="1"/>
  <c r="D72" i="9" s="1"/>
  <c r="G14" i="66"/>
  <c r="B6" i="66" s="1"/>
  <c r="D44" i="9"/>
  <c r="E44" i="9"/>
  <c r="O39" i="9"/>
  <c r="F44" i="9"/>
  <c r="N69" i="9"/>
  <c r="C113" i="9" l="1"/>
  <c r="C114" i="9" s="1"/>
  <c r="E114" i="9" s="1"/>
  <c r="E115" i="9" s="1"/>
  <c r="D6" i="66"/>
  <c r="C6" i="66"/>
  <c r="M88" i="9"/>
  <c r="N88" i="9" s="1"/>
  <c r="M84" i="9"/>
  <c r="N84" i="9" s="1"/>
  <c r="M83" i="9"/>
  <c r="N83" i="9" s="1"/>
  <c r="M86" i="9"/>
  <c r="N86" i="9" s="1"/>
  <c r="M85" i="9"/>
  <c r="N85" i="9" s="1"/>
  <c r="M87" i="9"/>
  <c r="N87" i="9" s="1"/>
  <c r="K29" i="9"/>
  <c r="K30" i="9" s="1"/>
  <c r="R6" i="54"/>
  <c r="B50" i="63" s="1"/>
  <c r="C97" i="9"/>
  <c r="D5" i="66"/>
  <c r="C5" i="66"/>
  <c r="N89" i="9" l="1"/>
  <c r="O89" i="9" s="1"/>
  <c r="C115" i="9"/>
  <c r="D76" i="9" s="1"/>
  <c r="D74" i="9" s="1"/>
  <c r="N74" i="9" s="1"/>
  <c r="O77" i="9" s="1"/>
  <c r="O78" i="9" s="1"/>
  <c r="C98" i="9"/>
  <c r="E98" i="9" s="1"/>
  <c r="E99" i="9" s="1"/>
  <c r="C99" i="9" l="1"/>
  <c r="Q77" i="9"/>
  <c r="O79" i="9"/>
  <c r="O80" i="9" s="1"/>
  <c r="O81" i="9" l="1"/>
  <c r="B2" i="35"/>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<sst xmlns="http://schemas.openxmlformats.org/spreadsheetml/2006/main" count="7348" uniqueCount="3267">
  <si>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</si>
  <si>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</si>
  <si>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</si>
  <si>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</si>
  <si>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</si>
  <si>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</si>
  <si>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</si>
  <si>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</si>
  <si>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</si>
  <si>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</si>
  <si>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</si>
  <si>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</si>
  <si>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</si>
  <si>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</si>
  <si>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</si>
  <si>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</si>
  <si>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</si>
  <si>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</si>
  <si>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</si>
  <si>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</si>
  <si>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</si>
  <si>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</si>
  <si>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</si>
  <si>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</si>
  <si>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</si>
  <si>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</si>
  <si>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</si>
  <si>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</si>
  <si>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</si>
  <si>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</si>
  <si>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</si>
  <si>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</si>
  <si>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</si>
  <si>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</si>
  <si>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</si>
  <si>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</si>
  <si>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</si>
  <si>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</si>
  <si>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</si>
  <si>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</si>
  <si>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</si>
  <si>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</si>
  <si>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</si>
  <si>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</si>
  <si>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</si>
  <si>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</si>
  <si>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</si>
  <si>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</si>
  <si>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</si>
  <si>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</si>
  <si>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</si>
  <si>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</si>
  <si>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</si>
  <si>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</si>
  <si>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</si>
  <si>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</si>
  <si>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</si>
  <si>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</si>
  <si>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</si>
  <si>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</si>
  <si>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</si>
  <si>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</si>
  <si>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</si>
  <si>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</si>
  <si>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</si>
  <si>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</si>
  <si>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</si>
  <si>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</si>
  <si>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</si>
  <si>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</si>
  <si>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</si>
  <si>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</si>
  <si>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</si>
  <si>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</si>
  <si>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</si>
  <si>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</si>
  <si>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</si>
  <si>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</si>
  <si>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</si>
  <si>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</si>
  <si>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</si>
  <si>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</si>
  <si>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</si>
  <si>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</si>
  <si>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</si>
  <si>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</si>
  <si>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</si>
  <si>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</si>
  <si>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</si>
  <si>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</si>
  <si>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</si>
  <si>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</si>
  <si>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</si>
  <si>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</si>
  <si>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</si>
  <si>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</si>
  <si>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</si>
  <si>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</si>
  <si>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</si>
  <si>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</si>
  <si>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</si>
  <si>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</si>
  <si>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</si>
  <si>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</si>
  <si>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</si>
  <si>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</si>
  <si>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</si>
  <si>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</si>
  <si>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</si>
  <si>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</si>
  <si>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</si>
  <si>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</si>
  <si>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</si>
  <si>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</si>
  <si>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</si>
  <si>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</si>
  <si>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</si>
  <si>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</si>
  <si>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</si>
  <si>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</si>
  <si>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</si>
  <si>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</si>
  <si>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</si>
  <si>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</si>
  <si>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</si>
  <si>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</si>
  <si>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</si>
  <si>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</si>
  <si>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</si>
  <si>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</si>
  <si>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</si>
  <si>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</si>
  <si>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</si>
  <si>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</si>
  <si>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</si>
  <si>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</si>
  <si>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</si>
  <si>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</si>
  <si>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</si>
  <si>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</si>
  <si>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</si>
  <si>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</si>
  <si>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</si>
  <si>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</si>
  <si>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</si>
  <si>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</si>
  <si>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</si>
  <si>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</si>
  <si>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</si>
  <si>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</si>
  <si>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</si>
  <si>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</si>
  <si>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</si>
  <si>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</si>
  <si>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</si>
  <si>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</si>
  <si>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</si>
  <si>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</si>
  <si>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</si>
  <si>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</si>
  <si>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</si>
  <si>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</si>
  <si>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</si>
  <si>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</si>
  <si>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</si>
  <si>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</si>
  <si>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</si>
  <si>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</si>
  <si>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</si>
  <si>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</si>
  <si>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</si>
  <si>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</si>
  <si>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</si>
  <si>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</si>
  <si>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</si>
  <si>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</si>
  <si>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</si>
  <si>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</si>
  <si>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</si>
  <si>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</si>
  <si>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</si>
  <si>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</si>
  <si>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</si>
  <si>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</si>
  <si>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</si>
  <si>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</si>
  <si>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</si>
  <si>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</si>
  <si>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</si>
  <si>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</si>
  <si>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</si>
  <si>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</si>
  <si>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</si>
  <si>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</si>
  <si>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</si>
  <si>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</si>
  <si>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</si>
  <si>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</si>
  <si>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</si>
  <si>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</si>
  <si>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</si>
  <si>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</si>
  <si>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</si>
  <si>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</si>
  <si>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</si>
  <si>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</si>
  <si>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</si>
  <si>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</si>
  <si>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</si>
  <si>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</si>
  <si>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</si>
  <si>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</si>
  <si>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</si>
  <si>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</si>
  <si>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</si>
  <si>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</si>
  <si>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</si>
  <si>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</si>
  <si>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</si>
  <si>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</si>
  <si>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</si>
  <si>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</si>
  <si>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</si>
  <si>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</si>
  <si>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</si>
  <si>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</si>
  <si>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</si>
  <si>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</si>
  <si>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</si>
  <si>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</si>
  <si>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</si>
  <si>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</si>
  <si>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</si>
  <si>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</si>
  <si>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</si>
  <si>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</si>
  <si>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</si>
  <si>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</si>
  <si>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</si>
  <si>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</si>
  <si>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</si>
  <si>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</si>
  <si>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</si>
  <si>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</si>
  <si>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</si>
  <si>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</si>
  <si>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</si>
  <si>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</si>
  <si>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</si>
  <si>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</si>
  <si>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</si>
  <si>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</si>
  <si>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</si>
  <si>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</si>
  <si>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</si>
  <si>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</si>
  <si>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</si>
  <si>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</si>
  <si>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</si>
  <si>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</si>
  <si>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</si>
  <si>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</si>
  <si>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</si>
  <si>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</si>
  <si>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</si>
  <si>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</si>
  <si>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</si>
  <si>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</si>
  <si>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</si>
  <si>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</si>
  <si>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</si>
  <si>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</si>
  <si>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</si>
  <si>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</si>
  <si>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</si>
  <si>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</si>
  <si>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</si>
  <si>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</si>
  <si>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</si>
  <si>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</si>
  <si>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</si>
  <si>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</si>
  <si>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</si>
  <si>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</si>
  <si>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</si>
  <si>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</si>
  <si>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</si>
  <si>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</si>
  <si>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</si>
  <si>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</si>
  <si>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</si>
  <si>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</si>
  <si>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</si>
  <si>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</si>
  <si>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</si>
  <si>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</si>
  <si>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</si>
  <si>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</si>
  <si>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</si>
  <si>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</si>
  <si>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</si>
  <si>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</si>
  <si>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</si>
  <si>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</si>
  <si>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</si>
  <si>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</si>
  <si>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</si>
  <si>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</si>
  <si>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</si>
  <si>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</si>
  <si>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</si>
  <si>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</si>
  <si>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</si>
  <si>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</si>
  <si>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</si>
  <si>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</si>
  <si>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</si>
  <si>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</si>
  <si>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</si>
  <si>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</si>
  <si>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</si>
  <si>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</si>
  <si>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</si>
  <si>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</si>
  <si>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</si>
  <si>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</si>
  <si>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</si>
  <si>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</si>
  <si>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</si>
  <si>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</si>
  <si>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</si>
  <si>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</si>
  <si>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</si>
  <si>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</si>
  <si>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</si>
  <si>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</si>
  <si>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</si>
  <si>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</si>
  <si>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</si>
  <si>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</si>
  <si>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</si>
  <si>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</si>
  <si>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</si>
  <si>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</si>
  <si>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</si>
  <si>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</si>
  <si>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</si>
  <si>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</si>
  <si>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</si>
  <si>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</si>
  <si>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</si>
  <si>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</si>
  <si>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</si>
  <si>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</si>
  <si>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</si>
  <si>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</si>
  <si>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</si>
  <si>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</si>
  <si>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</si>
  <si>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</si>
  <si>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</si>
  <si>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</si>
  <si>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</si>
  <si>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</si>
  <si>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</si>
  <si>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</si>
  <si>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</si>
  <si>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</si>
  <si>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</si>
  <si>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</si>
  <si>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</si>
  <si>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</si>
  <si>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</si>
  <si>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</si>
  <si>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</si>
  <si>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</si>
  <si>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</si>
  <si>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</si>
  <si>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</si>
  <si>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</si>
  <si>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</si>
  <si>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</si>
  <si>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</si>
  <si>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</si>
  <si>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</si>
  <si>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</si>
  <si>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</si>
  <si>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</si>
  <si>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</si>
  <si>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</si>
  <si>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</si>
  <si>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</si>
  <si>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</si>
  <si>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</si>
  <si>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</si>
  <si>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</si>
  <si>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</si>
  <si>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</si>
  <si>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</si>
  <si>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</si>
  <si>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</si>
  <si>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</si>
  <si>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</si>
  <si>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</si>
  <si>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</si>
  <si>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</si>
  <si>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</si>
  <si>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</si>
  <si>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</si>
  <si>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</si>
  <si>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</si>
  <si>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</si>
  <si>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</si>
  <si>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</si>
  <si>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</si>
  <si>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</si>
  <si>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</si>
  <si>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</si>
  <si>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</si>
  <si>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</si>
  <si>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</si>
  <si>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</si>
  <si>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</si>
  <si>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</si>
  <si>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</si>
  <si>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</si>
  <si>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</si>
  <si>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</si>
  <si>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</si>
  <si>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</si>
  <si>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</si>
  <si>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</si>
  <si>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</si>
  <si>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</si>
  <si>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</si>
  <si>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</si>
  <si>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</si>
  <si>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</si>
  <si>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</si>
  <si>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</si>
  <si>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</si>
  <si>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</si>
  <si>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</si>
  <si>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</si>
  <si>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</si>
  <si>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</si>
  <si>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</si>
  <si>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</si>
  <si>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</si>
  <si>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</si>
  <si>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</si>
  <si>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</si>
  <si>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</si>
  <si>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</si>
  <si>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</si>
  <si>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</si>
  <si>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</si>
  <si>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</si>
  <si>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</si>
  <si>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</si>
  <si>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</si>
  <si>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</si>
  <si>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</si>
  <si>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</si>
  <si>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</si>
  <si>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</si>
  <si>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</si>
  <si>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</si>
  <si>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</si>
  <si>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</si>
  <si>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</si>
  <si>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</si>
  <si>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</si>
  <si>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</si>
  <si>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</si>
  <si>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</si>
  <si>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</si>
  <si>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</si>
  <si>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</si>
  <si>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</si>
  <si>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</si>
  <si>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</si>
  <si>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</si>
  <si>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</si>
  <si>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</si>
  <si>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</si>
  <si>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</si>
  <si>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</si>
  <si>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</si>
  <si>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</si>
  <si>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</si>
  <si>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</si>
  <si>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</si>
  <si>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</si>
  <si>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</si>
  <si>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</si>
  <si>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</si>
  <si>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</si>
  <si>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</si>
  <si>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</si>
  <si>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</si>
  <si>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</si>
  <si>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</si>
  <si>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</si>
  <si>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</si>
  <si>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</si>
  <si>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</si>
  <si>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</si>
  <si>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</si>
  <si>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</si>
  <si>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</si>
  <si>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</si>
  <si>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</si>
  <si>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</si>
  <si>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</si>
  <si>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</si>
  <si>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</si>
  <si>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</si>
  <si>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</si>
  <si>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</si>
  <si>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</si>
  <si>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</si>
  <si>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</si>
  <si>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</si>
  <si>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</si>
  <si>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</si>
  <si>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</si>
  <si>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</si>
  <si>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</si>
  <si>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</si>
  <si>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</si>
  <si>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</si>
  <si>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</si>
  <si>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</si>
  <si>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</si>
  <si>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</si>
  <si>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</si>
  <si>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</si>
  <si>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</si>
  <si>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</si>
  <si>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</si>
  <si>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</si>
  <si>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</si>
  <si>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</si>
  <si>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</si>
  <si>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</si>
  <si>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</si>
  <si>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</si>
  <si>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</si>
  <si>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</si>
  <si>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</si>
  <si>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</si>
  <si>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</si>
  <si>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</si>
  <si>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</si>
  <si>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</si>
  <si>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</si>
  <si>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</si>
  <si>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</si>
  <si>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</si>
  <si>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</si>
  <si>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</si>
  <si>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</si>
  <si>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</si>
  <si>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</si>
  <si>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</si>
  <si>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</si>
  <si>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</si>
  <si>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</si>
  <si>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</si>
  <si>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</si>
  <si>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</si>
  <si>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</si>
  <si>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</si>
  <si>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</si>
  <si>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</si>
  <si>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</si>
  <si>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</si>
  <si>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</si>
  <si>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</si>
  <si>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</si>
  <si>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</si>
  <si>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</si>
  <si>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</si>
  <si>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</si>
  <si>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</si>
  <si>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</si>
  <si>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</si>
  <si>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</si>
  <si>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</si>
  <si>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</si>
  <si>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</si>
  <si>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</si>
  <si>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</si>
  <si>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</si>
  <si>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</si>
  <si>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</si>
  <si>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</si>
  <si>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</si>
  <si>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</si>
  <si>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</si>
  <si>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</si>
  <si>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</si>
  <si>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</si>
  <si>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</si>
  <si>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</si>
  <si>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</si>
  <si>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</si>
  <si>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</si>
  <si>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</si>
  <si>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</si>
  <si>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</si>
  <si>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</si>
  <si>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</si>
  <si>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</si>
  <si>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</si>
  <si>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</si>
  <si>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</si>
  <si>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</si>
  <si>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</si>
  <si>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</si>
  <si>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</si>
  <si>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</si>
  <si>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</si>
  <si>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</si>
  <si>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</si>
  <si>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</si>
  <si>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</si>
  <si>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</si>
  <si>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</si>
  <si>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</si>
  <si>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</si>
  <si>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</si>
  <si>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</si>
  <si>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</si>
  <si>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</si>
  <si>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</si>
  <si>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</si>
  <si>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</si>
  <si>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</si>
  <si>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</si>
  <si>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</si>
  <si>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</si>
  <si>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</si>
  <si>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</si>
  <si>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</si>
  <si>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</si>
  <si>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</si>
  <si>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</si>
  <si>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</si>
  <si>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</si>
  <si>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</si>
  <si>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</si>
  <si>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</si>
  <si>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</si>
  <si>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</si>
  <si>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</si>
  <si>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</si>
  <si>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</si>
  <si>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</si>
  <si>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</si>
  <si>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</si>
  <si>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</si>
  <si>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</si>
  <si>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</si>
  <si>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</si>
  <si>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</si>
  <si>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</si>
  <si>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</si>
  <si>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</si>
  <si>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</si>
  <si>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</si>
  <si>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</si>
  <si>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</si>
  <si>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</si>
  <si>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</si>
  <si>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</si>
  <si>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</si>
  <si>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</si>
  <si>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</si>
  <si>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</si>
  <si>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</si>
  <si>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</si>
  <si>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</si>
  <si>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</si>
  <si>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</si>
  <si>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</si>
  <si>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</si>
  <si>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</si>
  <si>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</si>
  <si>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</si>
  <si>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</si>
  <si>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</si>
  <si>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</si>
  <si>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</si>
  <si>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</si>
  <si>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</si>
  <si>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</si>
  <si>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</si>
  <si>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</si>
  <si>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</si>
  <si>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</si>
  <si>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</si>
  <si>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</si>
  <si>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</si>
  <si>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</si>
  <si>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</si>
  <si>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</si>
  <si>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</si>
  <si>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</si>
  <si>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</si>
  <si>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</si>
  <si>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</si>
  <si>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</si>
  <si>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</si>
  <si>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</si>
  <si>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</si>
  <si>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</si>
  <si>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</si>
  <si>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</si>
  <si>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</si>
  <si>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</si>
  <si>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</si>
  <si>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</si>
  <si>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</si>
  <si>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</si>
  <si>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</si>
  <si>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</si>
  <si>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</si>
  <si>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</si>
  <si>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</si>
  <si>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</si>
  <si>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</si>
  <si>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</si>
  <si>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</si>
  <si>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</si>
  <si>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</si>
  <si>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</si>
  <si>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</si>
  <si>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</si>
  <si>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</si>
  <si>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</si>
  <si>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</si>
  <si>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</si>
  <si>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</si>
  <si>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</si>
  <si>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</si>
  <si>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</si>
  <si>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</si>
  <si>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</si>
  <si>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</si>
  <si>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</si>
  <si>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</si>
  <si>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</si>
  <si>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</si>
  <si>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</si>
  <si>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</si>
  <si>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</si>
  <si>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</si>
  <si>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</si>
  <si>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</si>
  <si>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</si>
  <si>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</si>
  <si>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</si>
  <si>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</si>
  <si>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</si>
  <si>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</si>
  <si>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</si>
  <si>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</si>
  <si>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</si>
  <si>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</si>
  <si>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</si>
  <si>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</si>
  <si>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</si>
  <si>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</si>
  <si>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</si>
  <si>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</si>
  <si>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</si>
  <si>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</si>
  <si>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</si>
  <si>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</si>
  <si>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</si>
  <si>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</si>
  <si>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</si>
  <si>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</si>
  <si>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</si>
  <si>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</si>
  <si>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</si>
  <si>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</si>
  <si>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</si>
  <si>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</si>
  <si>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</si>
  <si>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</si>
  <si>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</si>
  <si>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</si>
  <si>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</si>
  <si>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</si>
  <si>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</si>
  <si>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</si>
  <si>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</si>
  <si>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</si>
  <si>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</si>
  <si>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</si>
  <si>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</si>
  <si>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</si>
  <si>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</si>
  <si>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</si>
  <si>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</si>
  <si>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</si>
  <si>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</si>
  <si>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</si>
  <si>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</si>
  <si>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</si>
  <si>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</si>
  <si>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</si>
  <si>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</si>
  <si>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</si>
  <si>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</si>
  <si>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</si>
  <si>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</si>
  <si>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</si>
  <si>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</si>
  <si>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</si>
  <si>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</si>
  <si>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</si>
  <si>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</si>
  <si>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</si>
  <si>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</si>
  <si>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</si>
  <si>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</si>
  <si>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</si>
  <si>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</si>
  <si>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</si>
  <si>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</si>
  <si>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</si>
  <si>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</si>
  <si>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</si>
  <si>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</si>
  <si>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</si>
  <si>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</si>
  <si>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</si>
  <si>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</si>
  <si>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</si>
  <si>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</si>
  <si>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</si>
  <si>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</si>
  <si>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</si>
  <si>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</si>
  <si>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</si>
  <si>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</si>
  <si>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</si>
  <si>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</si>
  <si>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</si>
  <si>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</si>
  <si>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</si>
  <si>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</si>
  <si>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</si>
  <si>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</si>
  <si>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</si>
  <si>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</si>
  <si>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</si>
  <si>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</si>
  <si>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</si>
  <si>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</si>
  <si>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</si>
  <si>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</si>
  <si>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</si>
  <si>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</si>
  <si>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</si>
  <si>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</si>
  <si>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</si>
  <si>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</si>
  <si>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</si>
  <si>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</si>
  <si>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</si>
  <si>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</si>
  <si>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</si>
  <si>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</si>
  <si>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</si>
  <si>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</si>
  <si>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</si>
  <si>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</si>
  <si>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</si>
  <si>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</si>
  <si>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</si>
  <si>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</si>
  <si>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</si>
  <si>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</si>
  <si>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</si>
  <si>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</si>
  <si>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</si>
  <si>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</si>
  <si>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</si>
  <si>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</si>
  <si>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</si>
  <si>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</si>
  <si>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</si>
  <si>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</si>
  <si>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</si>
  <si>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</si>
  <si>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</si>
  <si>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</si>
  <si>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</si>
  <si>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</si>
  <si>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</si>
  <si>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</si>
  <si>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</si>
  <si>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</si>
  <si>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</si>
  <si>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</si>
  <si>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</si>
  <si>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</si>
  <si>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</si>
  <si>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</si>
  <si>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</si>
  <si>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</si>
  <si>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</si>
  <si>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</si>
  <si>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</si>
  <si>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</si>
  <si>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</si>
  <si>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</si>
  <si>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</si>
  <si>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</si>
  <si>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</si>
  <si>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</si>
  <si>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</si>
  <si>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</si>
  <si>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</si>
  <si>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</si>
  <si>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</si>
  <si>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</si>
  <si>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</si>
  <si>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</si>
  <si>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</si>
  <si>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</si>
  <si>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</si>
  <si>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</si>
  <si>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</si>
  <si>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</si>
  <si>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</si>
  <si>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</si>
  <si>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</si>
  <si>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</si>
  <si>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</si>
  <si>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</si>
  <si>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</si>
  <si>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</si>
  <si>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</si>
  <si>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</si>
  <si>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</si>
  <si>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</si>
  <si>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</si>
  <si>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</si>
  <si>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</si>
  <si>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</si>
  <si>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</si>
  <si>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</si>
  <si>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</si>
  <si>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</si>
  <si>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</si>
  <si>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</si>
  <si>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</si>
  <si>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</si>
  <si>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</si>
  <si>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</si>
  <si>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</si>
  <si>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</si>
  <si>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</si>
  <si>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</si>
  <si>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</si>
  <si>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</si>
  <si>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</si>
  <si>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</si>
  <si>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</si>
  <si>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</si>
  <si>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</si>
  <si>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</si>
  <si>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</si>
  <si>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</si>
  <si>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</si>
  <si>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</si>
  <si>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</si>
  <si>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</si>
  <si>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</si>
  <si>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</si>
  <si>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</si>
  <si>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</si>
  <si>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</si>
  <si>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</si>
  <si>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</si>
  <si>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</si>
  <si>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</si>
  <si>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</si>
  <si>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</si>
  <si>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</si>
  <si>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</si>
  <si>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</si>
  <si>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</si>
  <si>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</si>
  <si>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</si>
  <si>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</si>
  <si>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</si>
  <si>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</si>
  <si>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</si>
  <si>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</si>
  <si>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</si>
  <si>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</si>
  <si>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</si>
  <si>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</si>
  <si>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</si>
  <si>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</si>
  <si>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</si>
  <si>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</si>
  <si>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</si>
  <si>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</si>
  <si>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</si>
  <si>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</si>
  <si>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</si>
  <si>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</si>
  <si>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</si>
  <si>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</si>
  <si>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</si>
  <si>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</si>
  <si>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</si>
  <si>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</si>
  <si>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</si>
  <si>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</si>
  <si>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</si>
  <si>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</si>
  <si>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</si>
  <si>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</si>
  <si>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</si>
  <si>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</si>
  <si>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</si>
  <si>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</si>
  <si>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</si>
  <si>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</si>
  <si>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</si>
  <si>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</si>
  <si>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</si>
  <si>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</si>
  <si>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</si>
  <si>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</si>
  <si>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</si>
  <si>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</si>
  <si>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</si>
  <si>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</si>
  <si>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</si>
  <si>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</si>
  <si>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</si>
  <si>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</si>
  <si>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</si>
  <si>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</si>
  <si>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</si>
  <si>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</si>
  <si>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</si>
  <si>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</si>
  <si>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</si>
  <si>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</si>
  <si>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</si>
  <si>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</si>
  <si>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</si>
  <si>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</si>
  <si>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</si>
  <si>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</si>
  <si>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</si>
  <si>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</si>
  <si>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</si>
  <si>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</si>
  <si>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</si>
  <si>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</si>
  <si>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</si>
  <si>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</si>
  <si>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</si>
  <si>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</si>
  <si>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</si>
  <si>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</si>
  <si>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</si>
  <si>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</si>
  <si>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</si>
  <si>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</si>
  <si>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</si>
  <si>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</si>
  <si>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</si>
  <si>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</si>
  <si>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</si>
  <si>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</si>
  <si>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</si>
  <si>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</si>
  <si>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</si>
  <si>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</si>
  <si>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</si>
  <si>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</si>
  <si>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</si>
  <si>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</si>
  <si>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</si>
  <si>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</si>
  <si>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</si>
  <si>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</si>
  <si>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</si>
  <si>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</si>
  <si>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</si>
  <si>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</si>
  <si>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</si>
  <si>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</si>
  <si>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</si>
  <si>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</si>
  <si>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</si>
  <si>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</si>
  <si>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</si>
  <si>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</si>
  <si>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</si>
  <si>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</si>
  <si>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</si>
  <si>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</si>
  <si>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</si>
  <si>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</si>
  <si>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</si>
  <si>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</si>
  <si>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</si>
  <si>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</si>
  <si>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</si>
  <si>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</si>
  <si>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</si>
  <si>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</si>
  <si>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</si>
  <si>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</si>
  <si>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</si>
  <si>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</si>
  <si>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</si>
  <si>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</si>
  <si>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</si>
  <si>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</si>
  <si>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</si>
  <si>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</si>
  <si>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</si>
  <si>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</si>
  <si>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</si>
  <si>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</si>
  <si>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</si>
  <si>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</si>
  <si>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</si>
  <si>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</si>
  <si>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</si>
  <si>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</si>
  <si>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</si>
  <si>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</si>
  <si>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</si>
  <si>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</si>
  <si>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</si>
  <si>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</si>
  <si>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</si>
  <si>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</si>
  <si>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</si>
  <si>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</si>
  <si>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</si>
  <si>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</si>
  <si>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</si>
  <si>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</si>
  <si>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</si>
  <si>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</si>
  <si>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</si>
  <si>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</si>
  <si>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</si>
  <si>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</si>
  <si>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</si>
  <si>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</si>
  <si>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</si>
  <si>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</si>
  <si>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</si>
  <si>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</si>
  <si>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</si>
  <si>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</si>
  <si>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</si>
  <si>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</si>
  <si>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</si>
  <si>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</si>
  <si>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</si>
  <si>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</si>
  <si>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</si>
  <si>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</si>
  <si>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</si>
  <si>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</si>
  <si>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</si>
  <si>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</si>
  <si>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</si>
  <si>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</si>
  <si>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</si>
  <si>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</si>
  <si>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</si>
  <si>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</si>
  <si>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</si>
  <si>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</si>
  <si>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</si>
  <si>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</si>
  <si>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</si>
  <si>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</si>
  <si>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</si>
  <si>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</si>
  <si>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</si>
  <si>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</si>
  <si>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</si>
  <si>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</si>
  <si>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</si>
  <si>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</si>
  <si>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</si>
  <si>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</si>
  <si>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</si>
  <si>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</si>
  <si>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</si>
  <si>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</si>
  <si>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</si>
  <si>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</si>
  <si>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</si>
  <si>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</si>
  <si>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</si>
  <si>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</si>
  <si>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</si>
  <si>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</si>
  <si>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</si>
  <si>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</si>
  <si>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</si>
  <si>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</si>
  <si>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</si>
  <si>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</si>
  <si>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</si>
  <si>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</si>
  <si>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</si>
  <si>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</si>
  <si>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</si>
  <si>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</si>
  <si>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</si>
  <si>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</si>
  <si>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</si>
  <si>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</si>
  <si>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</si>
  <si>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</si>
  <si>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</si>
  <si>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</si>
  <si>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</si>
  <si>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</si>
  <si>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</si>
  <si>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</si>
  <si>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</si>
  <si>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</si>
  <si>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</si>
  <si>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</si>
  <si>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</si>
  <si>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</si>
  <si>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</si>
  <si>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</si>
  <si>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</si>
  <si>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</si>
  <si>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</si>
  <si>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</si>
  <si>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</si>
  <si>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</si>
  <si>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</si>
  <si>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</si>
  <si>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</si>
  <si>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</si>
  <si>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</si>
  <si>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</si>
  <si>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</si>
  <si>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</si>
  <si>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</si>
  <si>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</si>
  <si>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</si>
  <si>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</si>
  <si>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</si>
  <si>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</si>
  <si>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</si>
  <si>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</si>
  <si>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</si>
  <si>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</si>
  <si>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</si>
  <si>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</si>
  <si>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</si>
  <si>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</si>
  <si>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</si>
  <si>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</si>
  <si>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</si>
  <si>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</si>
  <si>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</si>
  <si>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</si>
  <si>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</si>
  <si>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</si>
  <si>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</si>
  <si>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</si>
  <si>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</si>
  <si>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</si>
  <si>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</si>
  <si>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</si>
  <si>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</si>
  <si>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</si>
  <si>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</si>
  <si>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</si>
  <si>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</si>
  <si>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</si>
  <si>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</si>
  <si>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</si>
  <si>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</si>
  <si>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</si>
  <si>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</si>
  <si>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</si>
  <si>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</si>
  <si>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</si>
  <si>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</si>
  <si>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</si>
  <si>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</si>
  <si>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</si>
  <si>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</si>
  <si>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</si>
  <si>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</si>
  <si>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</si>
  <si>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</si>
  <si>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</si>
  <si>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</si>
  <si>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</si>
  <si>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</si>
  <si>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</si>
  <si>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</si>
  <si>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</si>
  <si>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</si>
  <si>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</si>
  <si>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</si>
  <si>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</si>
  <si>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</si>
  <si>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</si>
  <si>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</si>
  <si>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</si>
  <si>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</si>
  <si>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</si>
  <si>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</si>
  <si>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</si>
  <si>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</si>
  <si>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</si>
  <si>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</si>
  <si>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</si>
  <si>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</si>
  <si>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</si>
  <si>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</si>
  <si>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</si>
  <si>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</si>
  <si>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</si>
  <si>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</si>
  <si>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</si>
  <si>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</si>
  <si>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</si>
  <si>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</si>
  <si>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</si>
  <si>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</si>
  <si>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</si>
  <si>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</si>
  <si>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</si>
  <si>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</si>
  <si>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</si>
  <si>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</si>
  <si>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</si>
  <si>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</si>
  <si>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</si>
  <si>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</si>
  <si>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</si>
  <si>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</si>
  <si>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</si>
  <si>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</si>
  <si>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</si>
  <si>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</si>
  <si>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</si>
  <si>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</si>
  <si>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</si>
  <si>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</si>
  <si>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</si>
  <si>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</si>
  <si>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</si>
  <si>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</si>
  <si>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</si>
  <si>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</si>
  <si>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</si>
  <si>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</si>
  <si>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</si>
  <si>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</si>
  <si>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</si>
  <si>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</si>
  <si>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</si>
  <si>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</si>
  <si>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</si>
  <si>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</si>
  <si>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</si>
  <si>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</si>
  <si>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</si>
  <si>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</si>
  <si>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</si>
  <si>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</si>
  <si>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</si>
  <si>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</si>
  <si>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</si>
  <si>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</si>
  <si>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</si>
  <si>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</si>
  <si>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</si>
  <si>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</si>
  <si>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</si>
  <si>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</si>
  <si>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</si>
  <si>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</si>
  <si>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</si>
  <si>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</si>
  <si>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</si>
  <si>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</si>
  <si>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</si>
  <si>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</si>
  <si>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</si>
  <si>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</si>
  <si>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</si>
  <si>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</si>
  <si>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</si>
  <si>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</si>
  <si>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</si>
  <si>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</si>
  <si>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</si>
  <si>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</si>
  <si>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</si>
  <si>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</si>
  <si>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</si>
  <si>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</si>
  <si>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</si>
  <si>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</si>
  <si>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</si>
  <si>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</si>
  <si>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</si>
  <si>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</si>
  <si>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</si>
  <si>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</si>
  <si>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</si>
  <si>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</si>
  <si>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</si>
  <si>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</si>
  <si>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</si>
  <si>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</si>
  <si>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</si>
  <si>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</si>
  <si>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</si>
  <si>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</si>
  <si>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</si>
  <si>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</si>
  <si>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</si>
  <si>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</si>
  <si>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</si>
  <si>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</si>
  <si>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</si>
  <si>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</si>
  <si>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</si>
  <si>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</si>
  <si>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</si>
  <si>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</si>
  <si>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</si>
  <si>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</si>
  <si>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</si>
  <si>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</si>
  <si>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</si>
  <si>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</si>
  <si>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</si>
  <si>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</si>
  <si>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</si>
  <si>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</si>
  <si>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</si>
  <si>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</si>
  <si>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</si>
  <si>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</si>
  <si>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</si>
  <si>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</si>
  <si>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</si>
  <si>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</si>
  <si>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</si>
  <si>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</si>
  <si>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</si>
  <si>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</si>
  <si>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</si>
  <si>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</si>
  <si>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</si>
  <si>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</si>
  <si>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</si>
  <si>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</si>
  <si>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</si>
  <si>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</si>
  <si>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</si>
  <si>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</si>
  <si>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</si>
  <si>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</si>
  <si>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</si>
  <si>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</si>
  <si>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</si>
  <si>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</si>
  <si>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</si>
  <si>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</si>
  <si>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</si>
  <si>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</si>
  <si>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</si>
  <si>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</si>
  <si>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</si>
  <si>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</si>
  <si>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</si>
  <si>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</si>
  <si>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</si>
  <si>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</si>
  <si>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</si>
  <si>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</si>
  <si>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</si>
  <si>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</si>
  <si>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</si>
  <si>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</si>
  <si>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</si>
  <si>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</si>
  <si>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</si>
  <si>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</si>
  <si>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</si>
  <si>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</si>
  <si>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</si>
  <si>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</si>
  <si>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</si>
  <si>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</si>
  <si>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</si>
  <si>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</si>
  <si>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</si>
  <si>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</si>
  <si>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</si>
  <si>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</si>
  <si>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</si>
  <si>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</si>
  <si>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</si>
  <si>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</si>
  <si>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</si>
  <si>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</si>
  <si>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</si>
  <si>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</si>
  <si>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</si>
  <si>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</si>
  <si>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</si>
  <si>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</si>
  <si>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</si>
  <si>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</si>
  <si>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</si>
  <si>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</si>
  <si>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</si>
  <si>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</si>
  <si>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</si>
  <si>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</si>
  <si>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</si>
  <si>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</si>
  <si>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</si>
  <si>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</si>
  <si>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</si>
  <si>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</si>
  <si>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</si>
  <si>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</si>
  <si>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</si>
  <si>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</si>
  <si>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</si>
  <si>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</si>
  <si>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</si>
  <si>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</si>
  <si>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</si>
  <si>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</si>
  <si>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</si>
  <si>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</si>
  <si>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</si>
  <si>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</si>
  <si>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</si>
  <si>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</si>
  <si>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</si>
  <si>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</si>
  <si>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</si>
  <si>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</si>
  <si>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</si>
  <si>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</si>
  <si>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</si>
  <si>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</si>
  <si>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</si>
  <si>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</si>
  <si>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</si>
  <si>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</si>
  <si>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</si>
  <si>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</si>
  <si>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</si>
  <si>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</si>
  <si>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</si>
  <si>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</si>
  <si>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</si>
  <si>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</si>
  <si>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</si>
  <si>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</si>
  <si>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</si>
  <si>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</si>
  <si>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</si>
  <si>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</si>
  <si>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</si>
  <si>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</si>
  <si>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</si>
  <si>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</si>
  <si>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</si>
  <si>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</si>
  <si>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</si>
  <si>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</si>
  <si>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</si>
  <si>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</si>
  <si>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</si>
  <si>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</si>
  <si>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</si>
  <si>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</si>
  <si>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</si>
  <si>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</si>
  <si>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</si>
  <si>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</si>
  <si>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</si>
  <si>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</si>
  <si>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</si>
  <si>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</si>
  <si>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</si>
  <si>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</si>
  <si>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</si>
  <si>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</si>
  <si>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</si>
  <si>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</si>
  <si>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</si>
  <si>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</si>
  <si>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</si>
  <si>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</si>
  <si>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</si>
  <si>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</si>
  <si>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</si>
  <si>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</si>
  <si>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</si>
  <si>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</si>
  <si>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</si>
  <si>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</si>
  <si>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</si>
  <si>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</si>
  <si>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</si>
  <si>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</si>
  <si>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</si>
  <si>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</si>
  <si>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</si>
  <si>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</si>
  <si>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</si>
  <si>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</si>
  <si>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</si>
  <si>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</si>
  <si>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</si>
  <si>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</si>
  <si>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</si>
  <si>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</si>
  <si>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</si>
  <si>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</si>
  <si>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</si>
  <si>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</si>
  <si>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</si>
  <si>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</si>
  <si>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</si>
  <si>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</si>
  <si>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</si>
  <si>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</si>
  <si>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</si>
  <si>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</si>
  <si>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</si>
  <si>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</si>
  <si>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</si>
  <si>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</si>
  <si>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</si>
  <si>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</si>
  <si>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</si>
  <si>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</si>
  <si>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</si>
  <si>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</si>
  <si>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</si>
  <si>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</si>
  <si>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</si>
  <si>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</si>
  <si>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</si>
  <si>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</si>
  <si>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</si>
  <si>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</si>
  <si>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</si>
  <si>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</si>
  <si>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</si>
  <si>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</si>
  <si>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</si>
  <si>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</si>
  <si>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</si>
  <si>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</si>
  <si>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</si>
  <si>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</si>
  <si>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</si>
  <si>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</si>
  <si>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</si>
  <si>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</si>
  <si>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</si>
  <si>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</si>
  <si>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</si>
  <si>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</si>
  <si>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</si>
  <si>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</si>
  <si>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</si>
  <si>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</si>
  <si>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</si>
  <si>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</si>
  <si>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</si>
  <si>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</si>
  <si>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</si>
  <si>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</si>
  <si>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</si>
  <si>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</si>
  <si>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</si>
  <si>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</si>
  <si>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</si>
  <si>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</si>
  <si>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</si>
  <si>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</si>
  <si>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</si>
  <si>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</si>
  <si>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</si>
  <si>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</si>
  <si>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</si>
  <si>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</si>
  <si>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</si>
  <si>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</si>
  <si>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</si>
  <si>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</si>
  <si>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</si>
  <si>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</si>
  <si>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</si>
  <si>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</si>
  <si>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</si>
  <si>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</si>
  <si>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</si>
  <si>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</si>
  <si>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</si>
  <si>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</si>
  <si>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</si>
  <si>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</si>
  <si>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</si>
  <si>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</si>
  <si>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</si>
  <si>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</si>
  <si>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</si>
  <si>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</si>
  <si>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</si>
  <si>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</si>
  <si>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</si>
  <si>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</si>
  <si>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</si>
  <si>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</si>
  <si>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</si>
  <si>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</si>
  <si>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</si>
  <si>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</si>
  <si>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</si>
  <si>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</si>
  <si>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</si>
  <si>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</si>
  <si>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</si>
  <si>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</si>
  <si>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</si>
  <si>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</si>
  <si>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</si>
  <si>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</si>
  <si>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</si>
  <si>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</si>
  <si>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</si>
  <si>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</si>
  <si>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</si>
  <si>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</si>
  <si>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</si>
  <si>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</si>
  <si>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</si>
  <si>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</si>
  <si>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</si>
  <si>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</si>
  <si>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</si>
  <si>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</si>
  <si>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</si>
  <si>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</si>
  <si>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</si>
  <si>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</si>
  <si>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</si>
  <si>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</si>
  <si>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</si>
  <si>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</si>
  <si>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</si>
  <si>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</si>
  <si>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</si>
  <si>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</si>
  <si>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</si>
  <si>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</si>
  <si>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</si>
  <si>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</si>
  <si>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</si>
  <si>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</si>
  <si>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</si>
  <si>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</si>
  <si>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</si>
  <si>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</si>
  <si>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</si>
  <si>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</si>
  <si>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</si>
  <si>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</si>
  <si>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</si>
  <si>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</si>
  <si>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</si>
  <si>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</si>
  <si>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</si>
  <si>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</si>
  <si>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</si>
  <si>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</si>
  <si>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</si>
  <si>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</si>
  <si>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</si>
  <si>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</si>
  <si>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</si>
  <si>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</si>
  <si>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</si>
  <si>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</si>
  <si>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</si>
  <si>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</si>
  <si>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</si>
  <si>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</si>
  <si>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</si>
  <si>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</si>
  <si>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</si>
  <si>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</si>
  <si>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</si>
  <si>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</si>
  <si>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</si>
  <si>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</si>
  <si>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</si>
  <si>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</si>
  <si>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</si>
  <si>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</si>
  <si>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</si>
  <si>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</si>
  <si>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</si>
  <si>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</si>
  <si>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</si>
  <si>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</si>
  <si>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</si>
  <si>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</si>
  <si>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</si>
  <si>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</si>
  <si>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</si>
  <si>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</si>
  <si>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</si>
  <si>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</si>
  <si>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</si>
  <si>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</si>
  <si>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</si>
  <si>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</si>
  <si>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</si>
  <si>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</si>
  <si>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</si>
  <si>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</si>
  <si>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</si>
  <si>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</si>
  <si>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</si>
  <si>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</si>
  <si>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</si>
  <si>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</si>
  <si>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</si>
  <si>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</si>
  <si>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</si>
  <si>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</si>
  <si>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</si>
  <si>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</si>
  <si>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</si>
  <si>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</si>
  <si>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</si>
  <si>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</si>
  <si>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</si>
  <si>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</si>
  <si>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</si>
  <si>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</si>
  <si>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</si>
  <si>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</si>
  <si>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</si>
  <si>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</si>
  <si>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</si>
  <si>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</si>
  <si>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</si>
  <si>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</si>
  <si>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</si>
  <si>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</si>
  <si>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</si>
  <si>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</si>
  <si>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</si>
  <si>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</si>
  <si>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</si>
  <si>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</si>
  <si>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</si>
  <si>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</si>
  <si>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</si>
  <si>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</si>
  <si>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</si>
  <si>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</si>
  <si>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</si>
  <si>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</si>
  <si>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</si>
  <si>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</si>
  <si>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</si>
  <si>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</si>
  <si>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</si>
  <si>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</si>
  <si>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</si>
  <si>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</si>
  <si>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</si>
  <si>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</si>
  <si>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</si>
  <si>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</si>
  <si>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</si>
  <si>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</si>
  <si>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</si>
  <si>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</si>
  <si>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</si>
  <si>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</si>
  <si>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</si>
  <si>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</si>
  <si>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</si>
  <si>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</si>
  <si>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</si>
  <si>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</si>
  <si>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</si>
  <si>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</si>
  <si>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</si>
  <si>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</si>
  <si>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</si>
  <si>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</si>
  <si>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</si>
  <si>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</si>
  <si>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</si>
  <si>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</si>
  <si>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</si>
  <si>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</si>
  <si>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</si>
  <si>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</si>
  <si>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</si>
  <si>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</si>
  <si>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</si>
  <si>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</si>
  <si>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</si>
  <si>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</si>
  <si>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</si>
  <si>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</si>
  <si>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</si>
  <si>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</si>
  <si>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</si>
  <si>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</si>
  <si>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</si>
  <si>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</si>
  <si>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</si>
  <si>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</si>
  <si>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</si>
  <si>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</si>
  <si>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</si>
  <si>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</si>
  <si>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</si>
  <si>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</si>
  <si>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</si>
  <si>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</si>
  <si>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</si>
  <si>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</si>
  <si>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</si>
  <si>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</si>
  <si>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</si>
  <si>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</si>
  <si>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</si>
  <si>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</si>
  <si>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</si>
  <si>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</si>
  <si>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</si>
  <si>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</si>
  <si>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</si>
  <si>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</si>
  <si>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</si>
  <si>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</si>
  <si>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</si>
  <si>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</si>
  <si>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</si>
  <si>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</si>
  <si>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</si>
  <si>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</si>
  <si>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</si>
  <si>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</si>
  <si>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</si>
  <si>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</si>
  <si>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</si>
  <si>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</si>
  <si>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</si>
  <si>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</si>
  <si>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</si>
  <si>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</si>
  <si>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</si>
  <si>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</si>
  <si>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</si>
  <si>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</si>
  <si>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</si>
  <si>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</si>
  <si>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</si>
  <si>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</si>
  <si>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</si>
  <si>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</si>
  <si>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</si>
  <si>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</si>
  <si>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</si>
  <si>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</si>
  <si>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</si>
  <si>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</si>
  <si>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</si>
  <si>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</si>
  <si>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</si>
  <si>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</si>
  <si>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</si>
  <si>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</si>
  <si>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</si>
  <si>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</si>
  <si>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</si>
  <si>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</si>
  <si>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</si>
  <si>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</si>
  <si>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</si>
  <si>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</si>
  <si>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</si>
  <si>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</si>
  <si>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</si>
  <si>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</si>
  <si>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</si>
  <si>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</si>
  <si>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</si>
  <si>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</si>
  <si>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</si>
  <si>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</si>
  <si>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</si>
  <si>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</si>
  <si>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</si>
  <si>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</si>
  <si>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</si>
  <si>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</si>
  <si>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</si>
  <si>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</si>
  <si>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</si>
  <si>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</si>
  <si>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</si>
  <si>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</si>
  <si>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</si>
  <si>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</si>
  <si>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</si>
  <si>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</si>
  <si>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</si>
  <si>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</si>
  <si>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</si>
  <si>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</si>
  <si>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</si>
  <si>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</si>
  <si>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</si>
  <si>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</si>
  <si>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</si>
  <si>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</si>
  <si>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</si>
  <si>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</si>
  <si>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</si>
  <si>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</si>
  <si>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</si>
  <si>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</si>
  <si>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</si>
  <si>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</si>
  <si>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</si>
  <si>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</si>
  <si>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</si>
  <si>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</si>
  <si>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</si>
  <si>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</si>
  <si>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</si>
  <si>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</si>
  <si>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</si>
  <si>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</si>
  <si>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</si>
  <si>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</si>
  <si>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</si>
  <si>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</si>
  <si>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</si>
  <si>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</si>
  <si>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</si>
  <si>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</si>
  <si>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</si>
  <si>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</si>
  <si>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</si>
  <si>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</si>
  <si>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</si>
  <si>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</si>
  <si>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</si>
  <si>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</si>
  <si>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</si>
  <si>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</si>
  <si>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</si>
  <si>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</si>
  <si>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</si>
  <si>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</si>
  <si>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</si>
  <si>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</si>
  <si>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</si>
  <si>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</si>
  <si>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</si>
  <si>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</si>
  <si>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</si>
  <si>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</si>
  <si>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</si>
  <si>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</si>
  <si>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</si>
  <si>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</si>
  <si>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</si>
  <si>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</si>
  <si>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</si>
  <si>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</si>
  <si>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</si>
  <si>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</si>
  <si>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</si>
  <si>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</si>
  <si>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</si>
  <si>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</si>
  <si>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</si>
  <si>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</si>
  <si>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</si>
  <si>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</si>
  <si>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</si>
  <si>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</si>
  <si>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</si>
  <si>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</si>
  <si>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</si>
  <si>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</si>
  <si>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</si>
  <si>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</si>
  <si>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</si>
  <si>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</si>
  <si>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</si>
  <si>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</si>
  <si>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</si>
  <si>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</si>
  <si>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</si>
  <si>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</si>
  <si>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</si>
  <si>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</si>
  <si>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</si>
  <si>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</si>
  <si>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</si>
  <si>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</si>
  <si>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</si>
  <si>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</si>
  <si>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</si>
  <si>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</si>
  <si>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</si>
  <si>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</si>
  <si>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</si>
  <si>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</si>
  <si>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</si>
  <si>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</si>
  <si>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</si>
  <si>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</si>
  <si>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</si>
  <si>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</si>
  <si>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</si>
  <si>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</si>
  <si>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</si>
  <si>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</si>
  <si>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</si>
  <si>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</si>
  <si>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</si>
  <si>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</si>
  <si>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</si>
  <si>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</si>
  <si>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</si>
  <si>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</si>
  <si>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</si>
  <si>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</si>
  <si>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</si>
  <si>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</si>
  <si>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</si>
  <si>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</si>
  <si>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</si>
  <si>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</si>
  <si>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</si>
  <si>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</si>
  <si>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</si>
  <si>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</si>
  <si>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</si>
  <si>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</si>
  <si>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</si>
  <si>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</si>
  <si>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</si>
  <si>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</si>
  <si>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</si>
  <si>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</si>
  <si>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</si>
  <si>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</si>
  <si>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</si>
  <si>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</si>
  <si>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</si>
  <si>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</si>
  <si>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</si>
  <si>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</si>
  <si>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</si>
  <si>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</si>
  <si>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</si>
  <si>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</si>
  <si>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</si>
  <si>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</si>
  <si>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</si>
  <si>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</si>
  <si>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</si>
  <si>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</si>
  <si>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</si>
  <si>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</si>
  <si>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</si>
  <si>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</si>
  <si>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</si>
  <si>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</si>
  <si>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</si>
  <si>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</si>
  <si>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</si>
  <si>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</si>
  <si>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</si>
  <si>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</si>
  <si>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</si>
  <si>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</si>
  <si>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</si>
  <si>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</si>
  <si>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</si>
  <si>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</si>
  <si>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</si>
  <si>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</si>
  <si>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</si>
  <si>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</si>
  <si>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</si>
  <si>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</si>
  <si>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</si>
  <si>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</si>
  <si>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</si>
  <si>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</si>
  <si>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</si>
  <si>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</si>
  <si>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</si>
  <si>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</si>
  <si>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</si>
  <si>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</si>
  <si>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</si>
  <si>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</si>
  <si>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</si>
  <si>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</si>
  <si>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</si>
  <si>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</si>
  <si>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</si>
  <si>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</si>
  <si>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</si>
  <si>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</si>
  <si>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</si>
  <si>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</si>
  <si>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</si>
  <si>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</si>
  <si>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</si>
  <si>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</si>
  <si>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</si>
  <si>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</si>
  <si>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</si>
  <si>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</si>
  <si>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</si>
  <si>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</si>
  <si>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</si>
  <si>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</si>
  <si>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</si>
  <si>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</si>
  <si>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</si>
  <si>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</si>
  <si>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</si>
  <si>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</si>
  <si>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</si>
  <si>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</si>
  <si>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</si>
  <si>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</si>
  <si>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</si>
  <si>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</si>
  <si>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</si>
  <si>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</si>
  <si>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</si>
  <si>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</si>
  <si>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</si>
  <si>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</si>
  <si>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</si>
  <si>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</si>
  <si>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</si>
  <si>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</si>
  <si>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</si>
  <si>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</si>
  <si>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</si>
  <si>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</si>
  <si>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</si>
  <si>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</si>
  <si>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</si>
  <si>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</si>
  <si>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</si>
  <si>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</si>
  <si>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</si>
  <si>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</si>
  <si>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</si>
  <si>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</si>
  <si>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</si>
  <si>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</si>
  <si>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</si>
  <si>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</si>
  <si>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</si>
  <si>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</si>
  <si>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</si>
  <si>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</si>
  <si>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</si>
  <si>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</si>
  <si>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</si>
  <si>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</si>
  <si>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</si>
  <si>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</si>
  <si>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</si>
  <si>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</si>
  <si>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</si>
  <si>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</si>
  <si>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</si>
  <si>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</si>
  <si>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</si>
  <si>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</si>
  <si>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</si>
  <si>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</si>
  <si>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</si>
  <si>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</si>
  <si>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</si>
  <si>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</si>
  <si>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</si>
  <si>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</si>
  <si>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</si>
  <si>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</si>
  <si>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</si>
  <si>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</si>
  <si>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</si>
  <si>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</si>
  <si>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</si>
  <si>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</si>
  <si>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</si>
  <si>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</si>
  <si>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</si>
  <si>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</si>
  <si>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</si>
  <si>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</si>
  <si>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</si>
  <si>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</si>
  <si>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</si>
  <si>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</si>
  <si>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</si>
  <si>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</si>
  <si>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</si>
  <si>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</si>
  <si>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</si>
  <si>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</si>
  <si>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</si>
  <si>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</si>
  <si>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</si>
  <si>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</si>
  <si>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</si>
  <si>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</si>
  <si>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</si>
  <si>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</si>
  <si>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</si>
  <si>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</si>
  <si>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</si>
  <si>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</si>
  <si>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</si>
  <si>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</si>
  <si>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</si>
  <si>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</si>
  <si>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</si>
  <si>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</si>
  <si>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</si>
  <si>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</si>
  <si>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</si>
  <si>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</si>
  <si>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</si>
  <si>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</si>
  <si>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</si>
  <si>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</si>
  <si>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</si>
  <si>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</si>
  <si>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</si>
  <si>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</si>
  <si>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</si>
  <si>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</si>
  <si>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</si>
  <si>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</si>
  <si>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</si>
  <si>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</si>
  <si>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</si>
  <si>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</si>
  <si>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</si>
  <si>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</si>
  <si>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</si>
  <si>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</si>
  <si>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</si>
  <si>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</si>
  <si>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</si>
  <si>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</si>
  <si>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</si>
  <si>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</si>
  <si>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</si>
  <si>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</si>
  <si>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</si>
  <si>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</si>
  <si>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</si>
  <si>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</si>
  <si>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</si>
  <si>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</si>
  <si>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</si>
  <si>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</si>
  <si>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</si>
  <si>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</si>
  <si>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</si>
  <si>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</si>
  <si>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</si>
  <si>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</si>
  <si>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</si>
  <si>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</si>
  <si>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</si>
  <si>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</si>
  <si>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</si>
  <si>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</si>
  <si>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</si>
  <si>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</si>
  <si>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</si>
  <si>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</si>
  <si>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</si>
  <si>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</si>
  <si>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</si>
  <si>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</si>
  <si>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</si>
  <si>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</si>
  <si>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</si>
  <si>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</si>
  <si>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</si>
  <si>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</si>
  <si>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</si>
  <si>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</si>
  <si>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</si>
  <si>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</si>
  <si>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</si>
  <si>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</si>
  <si>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</si>
  <si>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</si>
  <si>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</si>
  <si>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</si>
  <si>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</si>
  <si>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</si>
  <si>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</si>
  <si>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</si>
  <si>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</si>
  <si>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</si>
  <si>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</si>
  <si>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</si>
  <si>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</si>
  <si>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</si>
  <si>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</si>
  <si>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</si>
  <si>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</si>
  <si>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</si>
  <si>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</si>
  <si>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</si>
  <si>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</si>
  <si>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</si>
  <si>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</si>
  <si>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</si>
  <si>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</si>
  <si>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</si>
  <si>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</si>
  <si>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</si>
  <si>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</si>
  <si>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</si>
  <si>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</si>
  <si>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</si>
  <si>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</si>
  <si>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</si>
  <si>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</si>
  <si>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</si>
  <si>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</si>
  <si>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</si>
  <si>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</si>
  <si>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</si>
  <si>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</si>
  <si>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</si>
  <si>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</si>
  <si>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</si>
  <si>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</si>
  <si>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</si>
  <si>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</si>
  <si>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</si>
  <si>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</si>
  <si>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</si>
  <si>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</si>
  <si>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</si>
  <si>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</si>
  <si>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</si>
  <si>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</si>
  <si>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</si>
  <si>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</si>
  <si>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</si>
  <si>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</si>
  <si>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</si>
  <si>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</si>
  <si>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</si>
  <si>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</si>
  <si>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</si>
  <si>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</si>
  <si>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</si>
  <si>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</si>
  <si>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</si>
  <si>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</si>
  <si>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</si>
  <si>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</si>
  <si>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</si>
  <si>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</si>
  <si>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</si>
  <si>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</si>
  <si>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</si>
  <si>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</si>
  <si>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</si>
  <si>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</si>
  <si>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</si>
  <si>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</si>
  <si>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</si>
  <si>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</si>
  <si>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</si>
  <si>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</si>
  <si>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</si>
  <si>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</si>
  <si>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</si>
  <si>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</si>
  <si>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</si>
  <si>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</si>
  <si>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</si>
  <si>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</si>
  <si>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</si>
  <si>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</si>
  <si>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</si>
  <si>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</si>
  <si>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</si>
  <si>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</si>
  <si>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</si>
  <si>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</si>
  <si>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</si>
  <si>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</si>
  <si>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</si>
  <si>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</si>
  <si>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</si>
  <si>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</si>
  <si>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</si>
  <si>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</si>
  <si>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</si>
  <si>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</si>
  <si>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</si>
  <si>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</si>
  <si>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</si>
  <si>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</si>
  <si>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</si>
  <si>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</si>
  <si>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</si>
  <si>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</si>
  <si>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</si>
  <si>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</si>
  <si>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</si>
  <si>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</si>
  <si>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</si>
  <si>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</si>
  <si>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</si>
  <si>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</si>
  <si>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</si>
  <si>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</si>
  <si>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</si>
  <si>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</si>
  <si>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</si>
  <si>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</si>
  <si>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</si>
  <si>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</si>
  <si>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</si>
  <si>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</si>
  <si>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</si>
  <si>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</si>
  <si>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</si>
  <si>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</si>
  <si>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</si>
  <si>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</si>
  <si>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</si>
  <si>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</si>
  <si>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</si>
  <si>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</si>
  <si>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</si>
  <si>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</si>
  <si>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</si>
  <si>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</si>
  <si>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</si>
  <si>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</si>
  <si>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</si>
  <si>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</si>
  <si>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</si>
  <si>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</si>
  <si>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</si>
  <si>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</si>
  <si>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</si>
  <si>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</si>
  <si>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</si>
  <si>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</si>
  <si>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</si>
  <si>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</si>
  <si>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</si>
  <si>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</si>
  <si>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</si>
  <si>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</si>
  <si>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</si>
  <si>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</si>
  <si>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</si>
  <si>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</si>
  <si>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</si>
  <si>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</si>
  <si>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</si>
  <si>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</si>
  <si>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</si>
  <si>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</si>
  <si>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</si>
  <si>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</si>
  <si>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</si>
  <si>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</si>
  <si>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</si>
  <si>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</si>
  <si>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</si>
  <si>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</si>
  <si>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</si>
  <si>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</si>
  <si>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</si>
  <si>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</si>
  <si>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</si>
  <si>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</si>
  <si>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</si>
  <si>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</si>
  <si>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</si>
  <si>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</si>
  <si>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</si>
  <si>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</si>
  <si>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</si>
  <si>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</si>
  <si>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</si>
  <si>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</si>
  <si>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</si>
  <si>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</si>
  <si>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</si>
  <si>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</si>
  <si>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</si>
  <si>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</si>
  <si>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</si>
  <si>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</si>
  <si>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</si>
  <si>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</si>
  <si>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</si>
  <si>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</si>
  <si>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</si>
  <si>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</si>
  <si>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</si>
  <si>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</si>
  <si>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</si>
  <si>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</si>
  <si>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</si>
  <si>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</si>
  <si>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</si>
  <si>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</si>
  <si>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</si>
  <si>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</si>
  <si>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</si>
  <si>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</si>
  <si>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</si>
  <si>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</si>
  <si>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</si>
  <si>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</si>
  <si>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</si>
  <si>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</si>
  <si>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</si>
  <si>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</si>
  <si>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</si>
  <si>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</si>
  <si>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</si>
  <si>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</si>
  <si>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</si>
  <si>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</si>
  <si>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</si>
  <si>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</si>
  <si>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</si>
  <si>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</si>
  <si>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</si>
  <si>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</si>
  <si>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</si>
  <si>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</si>
  <si>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</si>
  <si>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</si>
  <si>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</si>
  <si>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</si>
  <si>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</si>
  <si>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</si>
  <si>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</si>
  <si>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</si>
  <si>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</si>
  <si>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</si>
  <si>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</si>
  <si>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</si>
  <si>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</si>
  <si>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</si>
  <si>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</si>
  <si>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</si>
  <si>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</si>
  <si>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</si>
  <si>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</si>
  <si>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</si>
  <si>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</si>
  <si>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</si>
  <si>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</si>
  <si>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</si>
  <si>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</si>
  <si>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</si>
  <si>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</si>
  <si>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</si>
  <si>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</si>
  <si>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</si>
  <si>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</si>
  <si>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</si>
  <si>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</si>
  <si>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</si>
  <si>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</si>
  <si>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</si>
  <si>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</si>
  <si>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</si>
  <si>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</si>
  <si>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</si>
  <si>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</si>
  <si>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</si>
  <si>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</si>
  <si>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</si>
  <si>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</si>
  <si>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</si>
  <si>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</si>
  <si>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</si>
  <si>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</si>
  <si>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</si>
  <si>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</si>
  <si>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</si>
  <si>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</si>
  <si>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</si>
  <si>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</si>
  <si>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</si>
  <si>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</si>
  <si>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</si>
  <si>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</si>
  <si>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</si>
  <si>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</si>
  <si>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</si>
  <si>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</si>
  <si>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</si>
  <si>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</si>
  <si>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</si>
  <si>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</si>
  <si>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</si>
  <si>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</si>
  <si>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</si>
  <si>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</si>
  <si>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</si>
  <si>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</si>
  <si>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</si>
  <si>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</si>
  <si>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</si>
  <si>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</si>
  <si>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</si>
  <si>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</si>
  <si>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</si>
  <si>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</si>
  <si>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</si>
  <si>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</si>
  <si>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</si>
  <si>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</si>
  <si>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</si>
  <si>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</si>
  <si>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</si>
  <si>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</si>
  <si>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</si>
  <si>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</si>
  <si>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</si>
  <si>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</si>
  <si>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</si>
  <si>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</si>
  <si>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</si>
  <si>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</si>
  <si>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</si>
  <si>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</si>
  <si>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</si>
  <si>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</si>
  <si>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</si>
  <si>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</si>
  <si>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</si>
  <si>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</si>
  <si>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</si>
  <si>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</si>
  <si>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</si>
  <si>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</si>
  <si>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</si>
  <si>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</si>
  <si>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</si>
  <si>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</si>
  <si>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</si>
  <si>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</si>
  <si>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</si>
  <si>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</si>
  <si>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</si>
  <si>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</si>
  <si>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</si>
  <si>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</si>
  <si>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</si>
  <si>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</si>
  <si>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</si>
  <si>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</si>
  <si>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</si>
  <si>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</si>
  <si>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</si>
  <si>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</si>
  <si>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</si>
  <si>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</si>
  <si>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</si>
  <si>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</si>
  <si>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</si>
  <si>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</si>
  <si>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</si>
  <si>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</si>
  <si>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</si>
  <si>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</si>
  <si>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</si>
  <si>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</si>
  <si>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</si>
  <si>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</si>
  <si>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</si>
  <si>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</si>
  <si>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</si>
  <si>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</si>
  <si>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</si>
  <si>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</si>
  <si>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</si>
  <si>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</si>
  <si>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</si>
  <si>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</si>
  <si>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</si>
  <si>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</si>
  <si>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</si>
  <si>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</si>
  <si>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</si>
  <si>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</si>
  <si>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</si>
  <si>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</si>
  <si>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</si>
  <si>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</si>
  <si>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</si>
  <si>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</si>
  <si>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</si>
  <si>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</si>
  <si>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</si>
  <si>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</si>
  <si>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</si>
  <si>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</si>
  <si>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</si>
  <si>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</si>
  <si>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</si>
  <si>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</si>
  <si>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</si>
  <si>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</si>
  <si>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</si>
  <si>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</si>
  <si>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</si>
  <si>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</si>
  <si>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</si>
  <si>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</si>
  <si>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</si>
  <si>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</si>
  <si>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</si>
  <si>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</si>
  <si>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</si>
  <si>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</si>
  <si>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</si>
  <si>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</si>
  <si>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</si>
  <si>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</si>
  <si>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</si>
  <si>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</si>
  <si>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</si>
  <si>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</si>
  <si>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</si>
  <si>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</si>
  <si>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</si>
  <si>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</si>
  <si>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</si>
  <si>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</si>
  <si>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</si>
  <si>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</si>
  <si>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</si>
  <si>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</si>
  <si>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</si>
  <si>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</si>
  <si>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</si>
  <si>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</si>
  <si>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</si>
  <si>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</si>
  <si>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</si>
  <si>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</si>
  <si>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</si>
  <si>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</si>
  <si>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</si>
  <si>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</si>
  <si>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</si>
  <si>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</si>
  <si>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</si>
  <si>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</si>
  <si>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</si>
  <si>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</si>
  <si>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</si>
  <si>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</si>
  <si>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</si>
  <si>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</si>
  <si>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</si>
  <si>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</si>
  <si>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</si>
  <si>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</si>
  <si>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</si>
  <si>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</si>
  <si>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</si>
  <si>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</si>
  <si>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</si>
  <si>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</si>
  <si>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</si>
  <si>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</si>
  <si>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</si>
  <si>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</si>
  <si>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</si>
  <si>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</si>
  <si>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</si>
  <si>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</si>
  <si>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</si>
  <si>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</si>
  <si>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</si>
  <si>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</si>
  <si>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</si>
  <si>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</si>
  <si>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</si>
  <si>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</si>
  <si>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</si>
  <si>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</si>
  <si>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</si>
  <si>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</si>
  <si>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</si>
  <si>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</si>
  <si>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</si>
  <si>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</si>
  <si>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</si>
  <si>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</si>
  <si>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</si>
  <si>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</si>
  <si>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</si>
  <si>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</si>
  <si>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</si>
  <si>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</si>
  <si>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</si>
  <si>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</si>
  <si>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</si>
  <si>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赵雯</t>
  </si>
  <si>
    <t>抵押价格</t>
  </si>
  <si>
    <t>企业</t>
  </si>
  <si>
    <t>一致</t>
  </si>
  <si>
    <t>符合</t>
  </si>
  <si>
    <t>出让</t>
  </si>
  <si>
    <t>否</t>
  </si>
  <si>
    <t>通路</t>
  </si>
  <si>
    <t>通电</t>
  </si>
  <si>
    <t>通上水</t>
  </si>
  <si>
    <t>地上</t>
  </si>
  <si>
    <t>住宅</t>
    <phoneticPr fontId="8" type="noConversion"/>
  </si>
  <si>
    <t>地块名称</t>
  </si>
  <si>
    <t>城市</t>
  </si>
  <si>
    <t>用地性质</t>
  </si>
  <si>
    <t>出让方式</t>
  </si>
  <si>
    <t>建设用地面积(㎡)</t>
  </si>
  <si>
    <t>规划建筑面积(㎡)</t>
  </si>
  <si>
    <t>配建自住房情况</t>
  </si>
  <si>
    <t>成交日期</t>
  </si>
  <si>
    <t>受让单位</t>
  </si>
  <si>
    <t>成交价(万元)</t>
  </si>
  <si>
    <t>成交楼面价(元/㎡)</t>
  </si>
  <si>
    <t>溢价率</t>
  </si>
  <si>
    <t>住宅用地</t>
  </si>
  <si>
    <t>挂牌</t>
  </si>
  <si>
    <t>楼面地价</t>
  </si>
  <si>
    <t>比较法-住宅、综合</t>
  </si>
  <si>
    <t>剩余法-待开发</t>
  </si>
  <si>
    <t>七通</t>
  </si>
  <si>
    <t>七通</t>
    <phoneticPr fontId="4" type="noConversion"/>
  </si>
  <si>
    <t>较好</t>
  </si>
  <si>
    <t>世纪西路</t>
    <phoneticPr fontId="27" type="noConversion"/>
  </si>
  <si>
    <t>一般</t>
  </si>
  <si>
    <t>高速</t>
    <phoneticPr fontId="234" type="noConversion"/>
  </si>
  <si>
    <t>快速</t>
    <phoneticPr fontId="234" type="noConversion"/>
  </si>
  <si>
    <t>主</t>
    <phoneticPr fontId="234" type="noConversion"/>
  </si>
  <si>
    <t>次</t>
    <phoneticPr fontId="234" type="noConversion"/>
  </si>
  <si>
    <t>支</t>
    <phoneticPr fontId="234" type="noConversion"/>
  </si>
  <si>
    <t>次</t>
  </si>
  <si>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</si>
  <si>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</si>
  <si>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</si>
  <si>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</si>
  <si>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</si>
  <si>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</si>
  <si>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</si>
  <si>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不适宜</t>
    <phoneticPr fontId="4" type="noConversion"/>
  </si>
  <si>
    <t>六通</t>
  </si>
  <si>
    <t>五通</t>
  </si>
  <si>
    <t>四通</t>
  </si>
  <si>
    <t>三通</t>
  </si>
  <si>
    <t>好</t>
  </si>
  <si>
    <t>较差</t>
  </si>
  <si>
    <t>差</t>
  </si>
  <si>
    <t>主</t>
  </si>
  <si>
    <t>无</t>
  </si>
  <si>
    <t>无</t>
    <phoneticPr fontId="27" type="noConversion"/>
  </si>
  <si>
    <t>世纪大道东，山大新址北</t>
    <phoneticPr fontId="4" type="noConversion"/>
  </si>
  <si>
    <t>60-70（含）</t>
  </si>
  <si>
    <t>住宅</t>
    <phoneticPr fontId="22" type="noConversion"/>
  </si>
  <si>
    <t>中骏·柏景湾</t>
    <phoneticPr fontId="4" type="noConversion"/>
  </si>
  <si>
    <r>
      <t>2</t>
    </r>
    <r>
      <rPr>
        <sz val="11"/>
        <rFont val="宋体"/>
        <family val="3"/>
        <charset val="134"/>
      </rPr>
      <t>公里内有中铁诺德名城等，较差</t>
    </r>
    <phoneticPr fontId="22"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</si>
  <si>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，较差</t>
    </r>
    <phoneticPr fontId="22" type="noConversion"/>
  </si>
  <si>
    <t>临水库，较好</t>
    <phoneticPr fontId="22" type="noConversion"/>
  </si>
  <si>
    <t>高层</t>
    <phoneticPr fontId="4" type="noConversion"/>
  </si>
  <si>
    <t>钢混</t>
    <phoneticPr fontId="234" type="noConversion"/>
  </si>
  <si>
    <t>混合</t>
    <phoneticPr fontId="234" type="noConversion"/>
  </si>
  <si>
    <t>中档</t>
    <phoneticPr fontId="4" type="noConversion"/>
  </si>
  <si>
    <t>精装修</t>
    <phoneticPr fontId="4" type="noConversion"/>
  </si>
  <si>
    <t>普装</t>
    <phoneticPr fontId="4" type="noConversion"/>
  </si>
  <si>
    <t>简装</t>
    <phoneticPr fontId="4" type="noConversion"/>
  </si>
  <si>
    <t>毛坯</t>
    <phoneticPr fontId="4" type="noConversion"/>
  </si>
  <si>
    <t>专业</t>
    <phoneticPr fontId="4" type="noConversion"/>
  </si>
  <si>
    <t>七通</t>
    <phoneticPr fontId="22" type="noConversion"/>
  </si>
  <si>
    <t>高层</t>
  </si>
  <si>
    <t>钢混</t>
  </si>
  <si>
    <t>中档</t>
  </si>
  <si>
    <t>精装修</t>
  </si>
  <si>
    <t>专业</t>
  </si>
  <si>
    <t>毛坯</t>
  </si>
  <si>
    <t>世纪西路与福康路交汇处实验中学西门对面</t>
    <phoneticPr fontId="4" type="noConversion"/>
  </si>
  <si>
    <t>有泉山逸品、富康社区等多个</t>
    <phoneticPr fontId="22" type="noConversion"/>
  </si>
  <si>
    <r>
      <rPr>
        <sz val="11"/>
        <rFont val="宋体"/>
        <family val="3"/>
        <charset val="134"/>
      </rPr>
      <t>有章丘</t>
    </r>
    <r>
      <rPr>
        <sz val="11"/>
        <rFont val="Arial"/>
        <family val="2"/>
      </rPr>
      <t>1</t>
    </r>
    <r>
      <rPr>
        <sz val="11"/>
        <rFont val="宋体"/>
        <family val="3"/>
        <charset val="134"/>
      </rPr>
      <t>、</t>
    </r>
    <r>
      <rPr>
        <sz val="11"/>
        <rFont val="Arial"/>
        <family val="2"/>
      </rPr>
      <t>6</t>
    </r>
    <r>
      <rPr>
        <sz val="11"/>
        <rFont val="宋体"/>
        <family val="3"/>
        <charset val="134"/>
      </rPr>
      <t>、</t>
    </r>
    <r>
      <rPr>
        <sz val="11"/>
        <rFont val="Arial"/>
        <family val="2"/>
      </rPr>
      <t>11</t>
    </r>
    <r>
      <rPr>
        <sz val="11"/>
        <rFont val="宋体"/>
        <family val="3"/>
        <charset val="134"/>
      </rPr>
      <t>路等多条，较好</t>
    </r>
    <phoneticPr fontId="22" type="noConversion"/>
  </si>
  <si>
    <t>有眼明泉公园、绣江公园；较好</t>
    <phoneticPr fontId="22" type="noConversion"/>
  </si>
  <si>
    <t>有怡馨园、东琅沟公寓，一般</t>
    <phoneticPr fontId="22"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</si>
  <si>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等，一般</t>
    </r>
    <phoneticPr fontId="22" type="noConversion"/>
  </si>
  <si>
    <r>
      <t>2</t>
    </r>
    <r>
      <rPr>
        <sz val="11"/>
        <rFont val="宋体"/>
        <family val="3"/>
        <charset val="134"/>
      </rPr>
      <t>公里内有龙盘山公园，一般</t>
    </r>
    <phoneticPr fontId="27" type="noConversion"/>
  </si>
  <si>
    <t>中康绿城·百合花园</t>
    <phoneticPr fontId="4" type="noConversion"/>
  </si>
  <si>
    <t>中国中铁诺德名城</t>
    <phoneticPr fontId="4" type="noConversion"/>
  </si>
  <si>
    <t>章丘世纪大道南章丘新政务区西行500米路南</t>
    <phoneticPr fontId="4" type="noConversion"/>
  </si>
  <si>
    <t>售价</t>
  </si>
  <si>
    <t>项目全部</t>
  </si>
  <si>
    <t>土地</t>
  </si>
  <si>
    <t>《不动产权证书》[鲁（2018）章丘区不动产权第0016352号]</t>
    <phoneticPr fontId="4" type="noConversion"/>
  </si>
  <si>
    <t>《国有建设用地使用权出让合同》[电子监管号：3701812018B00544号]</t>
    <phoneticPr fontId="4" type="noConversion"/>
  </si>
  <si>
    <t>居住项目</t>
  </si>
  <si>
    <t>场地平整</t>
  </si>
  <si>
    <t>小高层、叠拼别墅</t>
  </si>
  <si>
    <t>小高层、叠拼别墅</t>
    <phoneticPr fontId="4" type="noConversion"/>
  </si>
  <si>
    <t>吴薇</t>
  </si>
  <si>
    <t>核定资产</t>
  </si>
  <si>
    <t>市场价格</t>
  </si>
  <si>
    <t>企业指标</t>
    <phoneticPr fontId="7" type="noConversion"/>
  </si>
  <si>
    <t>北京捷宸阳光科技发展有限公司</t>
    <phoneticPr fontId="7" type="noConversion"/>
  </si>
  <si>
    <t>区县</t>
  </si>
  <si>
    <t>板块</t>
  </si>
  <si>
    <t>土地位置</t>
  </si>
  <si>
    <t>地块编号</t>
  </si>
  <si>
    <t>详细规划</t>
  </si>
  <si>
    <t>商业比例</t>
  </si>
  <si>
    <t>建筑密度</t>
  </si>
  <si>
    <t>限制高度</t>
  </si>
  <si>
    <t>保障房类型</t>
  </si>
  <si>
    <t>开发进度</t>
  </si>
  <si>
    <t>出让年限</t>
  </si>
  <si>
    <t>竞报商品住房自持比例(%)</t>
  </si>
  <si>
    <t>竞报商办部分自持比例(%)</t>
  </si>
  <si>
    <t>北京市大兴区黄村镇DX00-0103-1304地块R2二类居住用地</t>
  </si>
  <si>
    <t>大兴区</t>
  </si>
  <si>
    <t>大兴区黄村镇</t>
  </si>
  <si>
    <t>招标</t>
  </si>
  <si>
    <t>京土整储招(兴)[2017]110*号</t>
  </si>
  <si>
    <t>R2二类居住用地</t>
  </si>
  <si>
    <t>≤25%</t>
  </si>
  <si>
    <t>≤30</t>
  </si>
  <si>
    <t>北京市房山区阎村镇LX14-0602等地块R2二类居住用地、S4社会停车场用地、A33基础教育用地</t>
  </si>
  <si>
    <t>综合用地(含住宅)</t>
  </si>
  <si>
    <t>房山区</t>
  </si>
  <si>
    <t>房山区阎村镇、拱辰街道办事处</t>
  </si>
  <si>
    <t>京土整储挂(房)[2017]089号</t>
  </si>
  <si>
    <t>R2二类居住用地、S4社会停车场用地、A33基础教育用地</t>
  </si>
  <si>
    <t>R2、A33≤30%;S4≤10%</t>
  </si>
  <si>
    <t>R2≤45;A33≤12;S4≤9</t>
  </si>
  <si>
    <t>居住用途建筑规模全部用于建设“共有产权住房”,房屋销售限价为30000元/平方米(含全装修费用)</t>
  </si>
  <si>
    <t>出让宗地居住建筑规模全部建设“共有产权住房”,销售价格26000元/平方米(含全装修费用)</t>
  </si>
  <si>
    <t>未开工</t>
  </si>
  <si>
    <t>2018-01-18</t>
  </si>
  <si>
    <t>北京三元德宏房地产开发有限公司</t>
  </si>
  <si>
    <t>2017-12-07</t>
  </si>
  <si>
    <t>北京金隅地产开发集团有限公司</t>
  </si>
  <si>
    <t>居住70年、商业40年、办公50年</t>
  </si>
  <si>
    <t>北京市房山区良乡镇中心区01-17-02等地块R2二类居住用地、B1商业用地</t>
  </si>
  <si>
    <t>房山区良乡镇</t>
  </si>
  <si>
    <t>京土整储挂(房)[2017]088号</t>
  </si>
  <si>
    <t>R2二类居住用地、B1商业用地</t>
  </si>
  <si>
    <t>R2≤30%;B1≤45%</t>
  </si>
  <si>
    <t>R2≤45;B1≤60</t>
  </si>
  <si>
    <t>出让宗地居住建筑规模全部建设“共有产权住房”,销售价格26000元/平方米(含全装修费用)。</t>
  </si>
  <si>
    <t>北京金融街京西置业有限公司</t>
  </si>
  <si>
    <t>住宅用地</t>
    <phoneticPr fontId="7" type="noConversion"/>
  </si>
  <si>
    <t>北京市通州区马驹桥镇金桥科技产业基地共2宗住宅用地</t>
    <phoneticPr fontId="7" type="noConversion"/>
  </si>
  <si>
    <t>通下水</t>
  </si>
  <si>
    <t>燃气</t>
  </si>
  <si>
    <t>全部为保障性住房</t>
  </si>
  <si>
    <t>共有产权房</t>
    <phoneticPr fontId="7" type="noConversion"/>
  </si>
  <si>
    <t>编号</t>
    <phoneticPr fontId="279" type="noConversion"/>
  </si>
  <si>
    <t>项目</t>
    <phoneticPr fontId="279" type="noConversion"/>
  </si>
  <si>
    <t>单位</t>
    <phoneticPr fontId="279" type="noConversion"/>
  </si>
  <si>
    <t>指标</t>
    <phoneticPr fontId="279" type="noConversion"/>
  </si>
  <si>
    <t>备注</t>
    <phoneticPr fontId="279" type="noConversion"/>
  </si>
  <si>
    <t>总用地面积</t>
    <phoneticPr fontId="279" type="noConversion"/>
  </si>
  <si>
    <t>公顷</t>
    <phoneticPr fontId="279" type="noConversion"/>
  </si>
  <si>
    <t>出让建设用地</t>
    <phoneticPr fontId="279" type="noConversion"/>
  </si>
  <si>
    <t>R2住宅用途</t>
    <phoneticPr fontId="279" type="noConversion"/>
  </si>
  <si>
    <t>代征公共设施用地</t>
    <phoneticPr fontId="279" type="noConversion"/>
  </si>
  <si>
    <t>1.2.1</t>
    <phoneticPr fontId="279" type="noConversion"/>
  </si>
  <si>
    <t>代征道路用地</t>
    <phoneticPr fontId="279" type="noConversion"/>
  </si>
  <si>
    <t>容积率</t>
    <phoneticPr fontId="279" type="noConversion"/>
  </si>
  <si>
    <t>2.5</t>
    <phoneticPr fontId="279" type="noConversion"/>
  </si>
  <si>
    <t>暂定</t>
    <phoneticPr fontId="279" type="noConversion"/>
  </si>
  <si>
    <t>建筑密度</t>
    <phoneticPr fontId="279" type="noConversion"/>
  </si>
  <si>
    <t>30%</t>
    <phoneticPr fontId="279" type="noConversion"/>
  </si>
  <si>
    <t>总建筑面积</t>
    <phoneticPr fontId="279" type="noConversion"/>
  </si>
  <si>
    <t>万㎡</t>
    <phoneticPr fontId="279" type="noConversion"/>
  </si>
  <si>
    <t>27.5</t>
    <phoneticPr fontId="279" type="noConversion"/>
  </si>
  <si>
    <t>地上建筑面积</t>
    <phoneticPr fontId="279" type="noConversion"/>
  </si>
  <si>
    <t>21.5</t>
    <phoneticPr fontId="279" type="noConversion"/>
  </si>
  <si>
    <t>3.1.1</t>
    <phoneticPr fontId="279" type="noConversion"/>
  </si>
  <si>
    <t>住宅</t>
    <phoneticPr fontId="279" type="noConversion"/>
  </si>
  <si>
    <t>18.06</t>
    <phoneticPr fontId="279" type="noConversion"/>
  </si>
  <si>
    <t>暂定每平米2万，销售36.12亿</t>
    <phoneticPr fontId="279" type="noConversion"/>
  </si>
  <si>
    <t>3.1.2</t>
    <phoneticPr fontId="279" type="noConversion"/>
  </si>
  <si>
    <t>商业</t>
    <phoneticPr fontId="279" type="noConversion"/>
  </si>
  <si>
    <t>1.075</t>
    <phoneticPr fontId="279" type="noConversion"/>
  </si>
  <si>
    <t>暂定每平米3万，销售3.23亿</t>
    <phoneticPr fontId="279" type="noConversion"/>
  </si>
  <si>
    <t>3.1.3</t>
    <phoneticPr fontId="279" type="noConversion"/>
  </si>
  <si>
    <t>配套公建</t>
    <phoneticPr fontId="279" type="noConversion"/>
  </si>
  <si>
    <t>2.365</t>
    <phoneticPr fontId="279" type="noConversion"/>
  </si>
  <si>
    <t>住宅建筑面积的11%配建，不计入销售</t>
    <phoneticPr fontId="279" type="noConversion"/>
  </si>
  <si>
    <t>地下建筑面积</t>
    <phoneticPr fontId="279" type="noConversion"/>
  </si>
  <si>
    <t>6</t>
    <phoneticPr fontId="279" type="noConversion"/>
  </si>
  <si>
    <t>3.2.1</t>
    <phoneticPr fontId="279" type="noConversion"/>
  </si>
  <si>
    <t>人防车库</t>
    <phoneticPr fontId="279" type="noConversion"/>
  </si>
  <si>
    <t>2</t>
    <phoneticPr fontId="279" type="noConversion"/>
  </si>
  <si>
    <t>3.2.2</t>
    <phoneticPr fontId="279" type="noConversion"/>
  </si>
  <si>
    <t>非人防车库</t>
    <phoneticPr fontId="279" type="noConversion"/>
  </si>
  <si>
    <t>3.2.3</t>
    <phoneticPr fontId="279" type="noConversion"/>
  </si>
  <si>
    <t>公摊</t>
    <phoneticPr fontId="279" type="noConversion"/>
  </si>
  <si>
    <t>暂定公摊至地上售价每平2万元，销售4亿</t>
    <phoneticPr fontId="279" type="noConversion"/>
  </si>
  <si>
    <t>停车位</t>
    <phoneticPr fontId="279" type="noConversion"/>
  </si>
  <si>
    <t>辆</t>
    <phoneticPr fontId="279" type="noConversion"/>
  </si>
  <si>
    <t>1332</t>
    <phoneticPr fontId="279" type="noConversion"/>
  </si>
  <si>
    <t>地下出租车位</t>
    <phoneticPr fontId="279" type="noConversion"/>
  </si>
  <si>
    <t>666</t>
    <phoneticPr fontId="279" type="noConversion"/>
  </si>
  <si>
    <t>暂定按30㎡/车位折算，暂不计入销售</t>
    <phoneticPr fontId="279" type="noConversion"/>
  </si>
  <si>
    <t>地下出售车位</t>
    <phoneticPr fontId="279" type="noConversion"/>
  </si>
  <si>
    <t>暂定按30㎡/车位折算，每个30万销售2亿</t>
    <phoneticPr fontId="279" type="noConversion"/>
  </si>
  <si>
    <t>Ⅸ-亦1</t>
  </si>
  <si>
    <t>商业</t>
  </si>
  <si>
    <t>住宅</t>
    <phoneticPr fontId="234" type="noConversion"/>
  </si>
  <si>
    <t>商业</t>
    <phoneticPr fontId="234" type="noConversion"/>
  </si>
  <si>
    <t>配套公建</t>
    <phoneticPr fontId="234" type="noConversion"/>
  </si>
  <si>
    <t>地下建筑面积</t>
    <phoneticPr fontId="234" type="noConversion"/>
  </si>
  <si>
    <t>车库</t>
  </si>
  <si>
    <t>车库</t>
    <phoneticPr fontId="234" type="noConversion"/>
  </si>
  <si>
    <t>人防</t>
    <phoneticPr fontId="234" type="noConversion"/>
  </si>
  <si>
    <t>设备</t>
    <phoneticPr fontId="234" type="noConversion"/>
  </si>
  <si>
    <t>住宅</t>
    <phoneticPr fontId="4" type="noConversion"/>
  </si>
  <si>
    <t>商业</t>
    <phoneticPr fontId="4" type="noConversion"/>
  </si>
  <si>
    <t>平层住宅</t>
  </si>
  <si>
    <t>底商</t>
  </si>
  <si>
    <t>地下</t>
  </si>
  <si>
    <t>地下车库</t>
    <phoneticPr fontId="4" type="noConversion"/>
  </si>
  <si>
    <t>住宅、商业</t>
  </si>
  <si>
    <t>估价对象周边居住用地比例一般、居住小区规模和社区发展完善程度一般，有合生世界村、悦上城等小区，综合评价居住社区成熟度一般</t>
    <phoneticPr fontId="4" type="noConversion"/>
  </si>
  <si>
    <t>周边以住宅底商为主，商业氛围较差，人流量较小，商业繁华度较差</t>
    <phoneticPr fontId="22" type="noConversion"/>
  </si>
  <si>
    <t>估价对象所在区域公共配套设施齐备情况较差</t>
    <phoneticPr fontId="4" type="noConversion"/>
  </si>
  <si>
    <t>综合评价环境状况较差</t>
    <phoneticPr fontId="4"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</si>
  <si>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辛四路</t>
    </r>
    <phoneticPr fontId="22" type="noConversion"/>
  </si>
  <si>
    <t>周边工业用地比例较高，区域土地利用方向一般</t>
    <phoneticPr fontId="22" type="noConversion"/>
  </si>
  <si>
    <t>较不规则</t>
  </si>
  <si>
    <t>较规则</t>
  </si>
  <si>
    <t>较适宜</t>
  </si>
  <si>
    <t>全部为共有产权房</t>
    <phoneticPr fontId="27" type="noConversion"/>
  </si>
  <si>
    <t>全部为共有产权房</t>
    <phoneticPr fontId="27" type="noConversion"/>
  </si>
  <si>
    <t>全部为共有产权房</t>
    <phoneticPr fontId="27" type="noConversion"/>
  </si>
  <si>
    <t>有兴水家园、漪景园等多个</t>
    <phoneticPr fontId="27" type="noConversion"/>
  </si>
  <si>
    <t>有827、840等多条及地铁大兴线，较好</t>
    <phoneticPr fontId="27" type="noConversion"/>
  </si>
  <si>
    <t>估价对象周边道路状况一般、公共交通通达情况一般、停车便捷程度较好，有846、821等公交线路，综合评价交通便捷度较差</t>
    <phoneticPr fontId="4" type="noConversion"/>
  </si>
  <si>
    <r>
      <t>1</t>
    </r>
    <r>
      <rPr>
        <sz val="11"/>
        <rFont val="宋体"/>
        <family val="3"/>
        <charset val="134"/>
      </rPr>
      <t>公里内有念坛公园，</t>
    </r>
    <r>
      <rPr>
        <sz val="11"/>
        <rFont val="Arial"/>
        <family val="2"/>
      </rPr>
      <t>2</t>
    </r>
    <r>
      <rPr>
        <sz val="11"/>
        <rFont val="宋体"/>
        <family val="3"/>
        <charset val="134"/>
      </rPr>
      <t>公里有北京财经专修学院、中央文化管理干部学院，较好</t>
    </r>
    <phoneticPr fontId="27" type="noConversion"/>
  </si>
  <si>
    <t>高速</t>
  </si>
  <si>
    <t>京开高速</t>
    <phoneticPr fontId="27" type="noConversion"/>
  </si>
  <si>
    <t>有佳世苑、瑞雪春堂等</t>
    <phoneticPr fontId="27" type="noConversion"/>
  </si>
  <si>
    <t>有835、993等多条及地铁房山线，较好</t>
    <phoneticPr fontId="27" type="noConversion"/>
  </si>
  <si>
    <t>2公里有赛纳园等，一般</t>
    <phoneticPr fontId="27" type="noConversion"/>
  </si>
  <si>
    <t>凯旋大道</t>
    <phoneticPr fontId="27" type="noConversion"/>
  </si>
  <si>
    <t>不动产收益法</t>
  </si>
  <si>
    <t>按租金收入计税</t>
  </si>
  <si>
    <t>40-50（含）</t>
  </si>
  <si>
    <t>首开龙湖天琅</t>
    <phoneticPr fontId="4" type="noConversion"/>
  </si>
  <si>
    <t>有兴15、兴16路等，较差</t>
    <phoneticPr fontId="27" type="noConversion"/>
  </si>
  <si>
    <t>毛坯</t>
    <phoneticPr fontId="28" type="noConversion"/>
  </si>
  <si>
    <t>简单</t>
    <phoneticPr fontId="28" type="noConversion"/>
  </si>
  <si>
    <t>普通</t>
    <phoneticPr fontId="28" type="noConversion"/>
  </si>
  <si>
    <t>精</t>
    <phoneticPr fontId="28" type="noConversion"/>
  </si>
  <si>
    <t>专业</t>
    <phoneticPr fontId="28" type="noConversion"/>
  </si>
  <si>
    <t>平面车位</t>
  </si>
  <si>
    <t>平面车位</t>
    <phoneticPr fontId="28" type="noConversion"/>
  </si>
  <si>
    <t>否</t>
    <phoneticPr fontId="28" type="noConversion"/>
  </si>
  <si>
    <r>
      <t>2</t>
    </r>
    <r>
      <rPr>
        <sz val="11"/>
        <rFont val="宋体"/>
        <family val="3"/>
        <charset val="134"/>
      </rPr>
      <t>公里有市民公园、南海子公园、一般</t>
    </r>
    <phoneticPr fontId="28" type="noConversion"/>
  </si>
  <si>
    <t>鸿坤林语墅</t>
    <phoneticPr fontId="4" type="noConversion"/>
  </si>
  <si>
    <t>有474、631等多条及地铁大兴线，较好</t>
    <phoneticPr fontId="27" type="noConversion"/>
  </si>
  <si>
    <t>有兴海公园、地铁文化公园等</t>
    <phoneticPr fontId="28" type="noConversion"/>
  </si>
  <si>
    <t>有578、580路等，较差</t>
    <phoneticPr fontId="27" type="noConversion"/>
  </si>
  <si>
    <r>
      <t>2</t>
    </r>
    <r>
      <rPr>
        <sz val="11"/>
        <rFont val="宋体"/>
        <family val="3"/>
        <charset val="134"/>
      </rPr>
      <t>公里有南海子公园、一般</t>
    </r>
    <phoneticPr fontId="28" type="noConversion"/>
  </si>
  <si>
    <t>元/车位</t>
  </si>
  <si>
    <t>押一</t>
  </si>
  <si>
    <r>
      <rPr>
        <sz val="10"/>
        <rFont val="宋体"/>
        <family val="3"/>
        <charset val="134"/>
      </rPr>
      <t>北京市通州区台湖镇</t>
    </r>
    <r>
      <rPr>
        <sz val="11"/>
        <color theme="1"/>
        <rFont val="宋体"/>
        <family val="3"/>
        <charset val="134"/>
        <scheme val="minor"/>
      </rPr>
      <t>YZ00-0405-0078</t>
    </r>
    <r>
      <rPr>
        <sz val="10"/>
        <rFont val="宋体"/>
        <family val="3"/>
        <charset val="134"/>
      </rPr>
      <t>、</t>
    </r>
    <r>
      <rPr>
        <sz val="11"/>
        <color theme="1"/>
        <rFont val="宋体"/>
        <family val="3"/>
        <charset val="134"/>
        <scheme val="minor"/>
      </rPr>
      <t>0079</t>
    </r>
    <r>
      <rPr>
        <sz val="10"/>
        <rFont val="宋体"/>
        <family val="3"/>
        <charset val="134"/>
      </rPr>
      <t>、</t>
    </r>
    <r>
      <rPr>
        <sz val="11"/>
        <color theme="1"/>
        <rFont val="宋体"/>
        <family val="3"/>
        <charset val="134"/>
        <scheme val="minor"/>
      </rPr>
      <t>0081</t>
    </r>
    <r>
      <rPr>
        <sz val="10"/>
        <rFont val="宋体"/>
        <family val="3"/>
        <charset val="134"/>
      </rPr>
      <t>地块</t>
    </r>
    <r>
      <rPr>
        <sz val="11"/>
        <color theme="1"/>
        <rFont val="宋体"/>
        <family val="3"/>
        <charset val="134"/>
        <scheme val="minor"/>
      </rPr>
      <t>R2</t>
    </r>
    <r>
      <rPr>
        <sz val="10"/>
        <rFont val="宋体"/>
        <family val="3"/>
        <charset val="134"/>
      </rPr>
      <t>二类居住用地</t>
    </r>
    <phoneticPr fontId="4" type="noConversion"/>
  </si>
  <si>
    <t>通州区</t>
  </si>
  <si>
    <t>通州区台湖镇</t>
  </si>
  <si>
    <t>京土整储挂(通)[2017]118号</t>
  </si>
  <si>
    <t>≤30%</t>
  </si>
  <si>
    <t>≤80</t>
  </si>
  <si>
    <t>出让宗地居住建筑规模全部用于建设“共有产权住房”,销售价格23000元/平方米(含全装修费用)</t>
  </si>
  <si>
    <t>2018-02-06</t>
  </si>
  <si>
    <t>北京住总置业有限公司和北京住总房地产开发有限责任公司联合体</t>
  </si>
  <si>
    <t>竞报整体自持比例(%)</t>
  </si>
  <si>
    <t>有次渠家园等</t>
    <phoneticPr fontId="27" type="noConversion"/>
  </si>
  <si>
    <t>有820、986等，较差</t>
    <phoneticPr fontId="27" type="noConversion"/>
  </si>
  <si>
    <t>经海九路</t>
    <phoneticPr fontId="27" type="noConversion"/>
  </si>
  <si>
    <t>住宅、商业</t>
    <phoneticPr fontId="27" type="noConversion"/>
  </si>
  <si>
    <t>车库</t>
    <phoneticPr fontId="28" type="noConversion"/>
  </si>
  <si>
    <t>亦庄金茂悦</t>
    <phoneticPr fontId="4" type="noConversion"/>
  </si>
  <si>
    <t>简单</t>
  </si>
  <si>
    <t>单面临街</t>
  </si>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</sst>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1" fillId="0" borderId="0">
      <alignment vertical="center"/>
    </xf>
  </cellStyleXfs>
  <cellXfs count="350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182" fontId="77" fillId="0" borderId="2" xfId="0" applyNumberFormat="1" applyFont="1" applyFill="1" applyBorder="1" applyAlignment="1" applyProtection="1">
      <alignment horizontal="center" vertical="center"/>
      <protection locked="0"/>
    </xf>
    <xf numFmtId="0" fontId="0" fillId="6" borderId="0" xfId="0" applyFill="1" applyAlignment="1"/>
    <xf numFmtId="0" fontId="145" fillId="0" borderId="6"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0" fontId="1" fillId="0" borderId="2" xfId="15" applyBorder="1" applyAlignment="1">
      <alignment horizontal="center" vertical="center"/>
    </xf>
    <xf numFmtId="49" fontId="1" fillId="0" borderId="2" xfId="15" applyNumberFormat="1" applyBorder="1" applyAlignment="1">
      <alignment horizontal="center" vertical="center"/>
    </xf>
    <xf numFmtId="0" fontId="1" fillId="0" borderId="0" xfId="15">
      <alignment vertical="center"/>
    </xf>
    <xf numFmtId="0" fontId="1" fillId="0" borderId="0" xfId="15" applyAlignment="1">
      <alignment horizontal="center" vertical="center"/>
    </xf>
    <xf numFmtId="49" fontId="1" fillId="0" borderId="0" xfId="15" applyNumberFormat="1" applyAlignment="1">
      <alignment horizontal="center" vertical="center"/>
    </xf>
    <xf numFmtId="49" fontId="1" fillId="0" borderId="0" xfId="15" applyNumberFormat="1">
      <alignment vertical="center"/>
    </xf>
    <xf numFmtId="0" fontId="1" fillId="0" borderId="0" xfId="15" applyBorder="1" applyAlignment="1">
      <alignment horizontal="center" vertical="center"/>
    </xf>
    <xf numFmtId="0" fontId="1" fillId="0" borderId="2" xfId="15" applyBorder="1">
      <alignment vertical="center"/>
    </xf>
    <xf numFmtId="49" fontId="1" fillId="0" borderId="2" xfId="15" applyNumberFormat="1" applyBorder="1">
      <alignment vertical="center"/>
    </xf>
    <xf numFmtId="181" fontId="77" fillId="0" borderId="2" xfId="0" applyNumberFormat="1" applyFont="1" applyBorder="1" applyAlignment="1" applyProtection="1">
      <alignment horizontal="center" vertical="center" wrapText="1"/>
      <protection locked="0"/>
    </xf>
    <xf numFmtId="49" fontId="278" fillId="0" borderId="12" xfId="0" applyNumberFormat="1" applyFont="1" applyFill="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180" fontId="72" fillId="0" borderId="2" xfId="0" applyNumberFormat="1" applyFont="1" applyBorder="1" applyAlignment="1" applyProtection="1">
      <alignment horizontal="center" vertical="center"/>
      <protection locked="0"/>
    </xf>
    <xf numFmtId="49" fontId="72" fillId="0" borderId="2" xfId="0" applyNumberFormat="1" applyFont="1" applyBorder="1" applyAlignment="1" applyProtection="1">
      <alignment horizontal="center" vertical="center"/>
      <protection locked="0"/>
    </xf>
    <xf numFmtId="0" fontId="87" fillId="6" borderId="0" xfId="0" applyFont="1" applyFill="1" applyAlignment="1"/>
    <xf numFmtId="0" fontId="85" fillId="7" borderId="20"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24" sqref="D24"/>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2657</v>
      </c>
      <c r="B1" s="2890" t="s">
        <v>2754</v>
      </c>
    </row>
    <row r="2" spans="1:55" s="2894" customFormat="1" ht="15" thickTop="1">
      <c r="A2" s="2892" t="s">
        <v>2661</v>
      </c>
      <c r="B2" s="2893" t="str">
        <f>'预评函-封皮'!B37</f>
        <v>北京市北京市通州区马驹桥镇金桥科技产业基地共2宗住宅用地出让国有建设用地使用权市场价格预评估</v>
      </c>
      <c r="AX2" s="2895"/>
      <c r="AZ2" s="2895"/>
      <c r="BA2" s="2896"/>
      <c r="BC2" s="2896"/>
    </row>
    <row r="3" spans="1:55" s="2897" customFormat="1">
      <c r="A3" s="2876" t="s">
        <v>2662</v>
      </c>
      <c r="B3" s="2879" t="str">
        <f>'预评函-封皮'!B40</f>
        <v>北京捷宸阳光科技发展有限公司</v>
      </c>
    </row>
    <row r="4" spans="1:55" s="2878" customFormat="1">
      <c r="A4" s="2876" t="s">
        <v>2663</v>
      </c>
      <c r="B4" s="2877" t="str">
        <f>'预评函-封皮'!B46</f>
        <v>吴薇、赵雯</v>
      </c>
      <c r="N4" s="2878" t="str">
        <f>'预评函-1'!A28</f>
        <v>——</v>
      </c>
    </row>
    <row r="5" spans="1:55" s="2891" customFormat="1" ht="15" thickBot="1">
      <c r="A5" s="2898" t="s">
        <v>2664</v>
      </c>
      <c r="B5" s="2899" t="str">
        <f>'预评函-封皮'!B49</f>
        <v>康正预评字号</v>
      </c>
    </row>
    <row r="6" spans="1:55" s="2900" customFormat="1" ht="15" thickTop="1">
      <c r="A6" s="2892" t="s">
        <v>2706</v>
      </c>
      <c r="B6" s="2893" t="str">
        <f>'预评函-1'!A4</f>
        <v>受贵公司委托，我公司对北京市北京市通州区马驹桥镇金桥科技产业基地共2宗住宅用地出让国有建设用地使用权市场价格进行了预评估。</v>
      </c>
      <c r="AM6" s="2901"/>
    </row>
    <row r="7" spans="1:55" s="2875" customFormat="1">
      <c r="A7" s="2876" t="s">
        <v>2658</v>
      </c>
      <c r="B7" s="2877" t="str">
        <f>'预评函-1'!A6</f>
        <v>估价对象为北京捷宸阳光科技发展有限公司使用的、位于北京市北京市通州区马驹桥镇金桥科技产业基地共2宗住宅用地出让国有建设用地使用权。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本次评估为委托估价方了解标的物之市场价格提供参考依据而评估出让国有建设用地使用权市场价格。</v>
      </c>
    </row>
    <row r="10" spans="1:55" s="2875" customFormat="1">
      <c r="A10" s="2876" t="s">
        <v>2660</v>
      </c>
      <c r="B10" s="2877" t="str">
        <f>'预评函-1'!A11</f>
        <v>2018年8月2日（评估专业人员勘察现场之日）</v>
      </c>
    </row>
    <row r="11" spans="1:55" s="2875" customFormat="1">
      <c r="A11" s="2876" t="s">
        <v>2666</v>
      </c>
      <c r="B11" s="2877" t="str">
        <f>'预评函-1'!A14</f>
        <v>根据《国有土地使用证》[]，本次评估估价对象证载（地类）用途为住宅用地。</v>
      </c>
    </row>
    <row r="12" spans="1:55" s="2875" customFormat="1">
      <c r="A12" s="2876" t="s">
        <v>2667</v>
      </c>
      <c r="B12" s="2877" t="str">
        <f>'预评函-1'!A15</f>
        <v>本次评估设定用途即为证载用途住宅用地。</v>
      </c>
    </row>
    <row r="13" spans="1:55" s="2875" customFormat="1">
      <c r="A13" s="2876" t="s">
        <v>2668</v>
      </c>
      <c r="B13" s="2877" t="str">
        <f>'预评函-1'!A17</f>
        <v>根据委托估价方介绍及评估专业人员现场勘查，本次评估估价对象实际土地开发程度为红线外市政基础设施达“七通”（即通路、通电、通上水、通下水、燃气、、）、宗地红线内场地平整。</v>
      </c>
    </row>
    <row r="14" spans="1:55" s="2875" customFormat="1">
      <c r="A14" s="2876" t="s">
        <v>2669</v>
      </c>
      <c r="B14" s="2877" t="str">
        <f>'预评函-1'!A18</f>
        <v>本次评估设定土地开发程度为红线外市政基础设施达“七通”、宗地红线内场地平整。</v>
      </c>
    </row>
    <row r="15" spans="1:55" s="2875" customFormat="1">
      <c r="A15" s="2876" t="s">
        <v>2665</v>
      </c>
      <c r="B15" s="2877" t="str">
        <f>'预评函-1'!A20</f>
        <v>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16" spans="1:55" s="2875" customFormat="1">
      <c r="A16" s="2876" t="s">
        <v>2670</v>
      </c>
      <c r="B16" s="2877" t="str">
        <f>'预评函-1'!A22</f>
        <v>本次估价对象为出让国有建设用地使用权，《国有土地使用证》[]证载土地终止日期为住宅2078年8月19日、商业2048年8月19日地下车库2058年8月19日。截至估价期日，出让国有建设用地使用权剩余土地使用年限为。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row>
    <row r="19" spans="1:48" s="2875" customFormat="1">
      <c r="A19" s="2876" t="s">
        <v>2673</v>
      </c>
      <c r="B19" s="2877" t="str">
        <f>'预评函-1'!A26</f>
        <v>——</v>
      </c>
    </row>
    <row r="20" spans="1:48" s="2875" customFormat="1">
      <c r="A20" s="2876" t="s">
        <v>2674</v>
      </c>
      <c r="B20" s="2877" t="str">
        <f>'预评函-1'!A27</f>
        <v>——</v>
      </c>
    </row>
    <row r="21" spans="1:48" s="2891" customFormat="1" ht="15" thickBot="1">
      <c r="A21" s="2898" t="s">
        <v>2675</v>
      </c>
      <c r="B21" s="2899" t="str">
        <f>'预评函-1'!A28</f>
        <v>——</v>
      </c>
    </row>
    <row r="22" spans="1:48" ht="15" thickTop="1">
      <c r="A22" s="2887" t="s">
        <v>2676</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估价期日：2018年8月2日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t="str">
        <f>'预评函-2'!E5</f>
        <v>住宅用地</v>
      </c>
      <c r="AV32" s="2881"/>
    </row>
    <row r="33" spans="1:2">
      <c r="A33" s="2876" t="s">
        <v>2714</v>
      </c>
      <c r="B33" s="2877">
        <f>'预评函-2'!F5</f>
        <v>258</v>
      </c>
    </row>
    <row r="34" spans="1:2">
      <c r="A34" s="2876" t="s">
        <v>2715</v>
      </c>
      <c r="B34" s="2877" t="str">
        <f>'预评函-2'!G5</f>
        <v>住宅用地</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红线外七通、宗地红线内场地平整</v>
      </c>
    </row>
    <row r="39" spans="1:2">
      <c r="A39" s="2876" t="s">
        <v>2720</v>
      </c>
      <c r="B39" s="2877" t="str">
        <f>'预评函-2'!L5</f>
        <v>红线外七通、宗地红线内场地</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86802.49</v>
      </c>
    </row>
    <row r="44" spans="1:2">
      <c r="A44" s="2876" t="s">
        <v>2741</v>
      </c>
      <c r="B44" s="2877" t="str">
        <f>'预评函-2'!O3</f>
        <v>规划建筑面积/㎡</v>
      </c>
    </row>
    <row r="45" spans="1:2">
      <c r="A45" s="2876" t="s">
        <v>2723</v>
      </c>
      <c r="B45" s="2877">
        <f>'预评函-2'!O5</f>
        <v>275000</v>
      </c>
    </row>
    <row r="46" spans="1:2">
      <c r="A46" s="2876" t="s">
        <v>2724</v>
      </c>
      <c r="B46" s="2877">
        <f ca="1">'预评函-2'!P5</f>
        <v>29558</v>
      </c>
    </row>
    <row r="47" spans="1:2">
      <c r="A47" s="2876" t="s">
        <v>2725</v>
      </c>
      <c r="B47" s="2877">
        <f ca="1">'预评函-2'!Q5</f>
        <v>9330</v>
      </c>
    </row>
    <row r="48" spans="1:2">
      <c r="A48" s="2876" t="s">
        <v>2726</v>
      </c>
      <c r="B48" s="2877">
        <f ca="1">'预评函-2'!R5</f>
        <v>256572</v>
      </c>
    </row>
    <row r="49" spans="1:2">
      <c r="A49" s="2876" t="s">
        <v>2742</v>
      </c>
      <c r="B49" s="2877" t="str">
        <f>'预评函-2'!A6</f>
        <v>——</v>
      </c>
    </row>
    <row r="50" spans="1:2">
      <c r="A50" s="2876" t="s">
        <v>2727</v>
      </c>
      <c r="B50" s="2877">
        <f ca="1">'预评函-2'!R6</f>
        <v>256572</v>
      </c>
    </row>
    <row r="51" spans="1:2">
      <c r="A51" s="2876" t="s">
        <v>2743</v>
      </c>
      <c r="B51" s="2877" t="str">
        <f>'预评函-2'!A7</f>
        <v>——</v>
      </c>
    </row>
    <row r="52" spans="1:2">
      <c r="A52" s="2876" t="s">
        <v>2728</v>
      </c>
      <c r="B52" s="2877" t="str">
        <f>'预评函-2'!R7</f>
        <v>——</v>
      </c>
    </row>
    <row r="53" spans="1:2">
      <c r="A53" s="2876" t="s">
        <v>2744</v>
      </c>
      <c r="B53" s="2877" t="str">
        <f>'预评函-2'!A8</f>
        <v>——</v>
      </c>
    </row>
    <row r="54" spans="1:2" s="2891" customFormat="1" ht="15" thickBot="1">
      <c r="A54" s="2898" t="s">
        <v>2729</v>
      </c>
      <c r="B54" s="2899" t="str">
        <f>'预评函-2'!R8</f>
        <v>——</v>
      </c>
    </row>
    <row r="55" spans="1:2" ht="15" thickTop="1">
      <c r="A55" s="2887" t="s">
        <v>2679</v>
      </c>
      <c r="B55" s="2888" t="str">
        <f>'预评函-3'!A2</f>
        <v>1.权利限制：根据估价对象《不动产权证书》原件、《国有土地使用权》——，截至估价期日，估价对象抵押权未见登记。未设定租赁等其他他项权利。</v>
      </c>
    </row>
    <row r="56" spans="1:2">
      <c r="A56" s="2876" t="s">
        <v>2680</v>
      </c>
      <c r="B56" s="2877" t="str">
        <f>'预评函-3'!A3</f>
        <v>2.基础设施条件：估价对象实际开发程度为红线外七通、宗地红线内场地平整；本次评估设定开发程度为红线外七通、宗地红线内场地。</v>
      </c>
    </row>
    <row r="57" spans="1:2">
      <c r="A57" s="2876" t="s">
        <v>2681</v>
      </c>
      <c r="B57" s="2877" t="str">
        <f>'预评函-3'!A4</f>
        <v>3.估价规划限制条件：详见《国有建设用地使用权出让合同》[电子监管号：3701812018B00544号]。</v>
      </c>
    </row>
    <row r="58" spans="1:2" s="2891" customFormat="1" ht="15" thickBot="1">
      <c r="A58" s="2898" t="s">
        <v>2730</v>
      </c>
      <c r="B58" s="2899" t="str">
        <f>'预评函-3'!A5</f>
        <v>4.影响价格的其他限定条件：无。</v>
      </c>
    </row>
    <row r="59" spans="1:2" ht="15" thickTop="1">
      <c r="A59" s="2887" t="s">
        <v>2682</v>
      </c>
      <c r="B59" s="2888" t="str">
        <f>'预评函-3'!A8</f>
        <v>2.本次评估设定估价对象宗地权属无争议，未被查封或者以其他形式限制其房地产权利，未设定抵押权等他项权利，不涉及第三方权利义务。</v>
      </c>
    </row>
    <row r="60" spans="1:2">
      <c r="A60" s="2876" t="s">
        <v>2683</v>
      </c>
      <c r="B60" s="2877" t="str">
        <f>'预评函-3'!A9</f>
        <v>——</v>
      </c>
    </row>
    <row r="61" spans="1:2">
      <c r="A61" s="2876" t="s">
        <v>2685</v>
      </c>
      <c r="B61" s="2877" t="str">
        <f>'预评函-3'!A10</f>
        <v>——</v>
      </c>
    </row>
    <row r="62" spans="1:2">
      <c r="A62" s="2876" t="s">
        <v>2684</v>
      </c>
      <c r="B62" s="2877" t="str">
        <f>'预评函-3'!A11</f>
        <v>——</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v>
      </c>
    </row>
    <row r="66" spans="1:2">
      <c r="A66" s="2876" t="s">
        <v>2689</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2693</v>
      </c>
      <c r="B68" s="2902">
        <f>'预评函-3'!D30</f>
        <v>42558</v>
      </c>
    </row>
    <row r="69" spans="1:2" ht="15" thickTop="1">
      <c r="A69" s="2887" t="s">
        <v>2691</v>
      </c>
      <c r="B69" s="2888" t="str">
        <f>'预评函-3'!A20</f>
        <v>吴薇</v>
      </c>
    </row>
    <row r="70" spans="1:2">
      <c r="A70" s="2876" t="s">
        <v>2691</v>
      </c>
      <c r="B70" s="2883">
        <f ca="1">'预评函-3'!B20</f>
        <v>2002110125</v>
      </c>
    </row>
    <row r="71" spans="1:2">
      <c r="A71" s="2876" t="s">
        <v>2692</v>
      </c>
      <c r="B71" s="2877" t="str">
        <f>'预评函-3'!A21</f>
        <v>赵雯</v>
      </c>
    </row>
    <row r="72" spans="1:2" s="2891" customFormat="1" ht="15" thickBot="1">
      <c r="A72" s="2898" t="s">
        <v>2692</v>
      </c>
      <c r="B72" s="2904">
        <f ca="1">'预评函-3'!B21</f>
        <v>2011110090</v>
      </c>
    </row>
    <row r="73" spans="1:2" ht="15"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2788</v>
      </c>
      <c r="B76" s="288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10" t="s">
        <v>2953</v>
      </c>
      <c r="C18" s="1552"/>
    </row>
    <row r="19" spans="1:3">
      <c r="A19" s="8" t="s">
        <v>120</v>
      </c>
      <c r="B19" s="3110" t="s">
        <v>2961</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通州区马驹桥镇金桥科技产业基地共2宗住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32"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c r="D53" s="1766"/>
      <c r="E53" s="1766"/>
    </row>
    <row r="54" spans="1:5">
      <c r="A54" s="3232"/>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2"/>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2"/>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2"/>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7"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88" customWidth="1"/>
    <col min="2" max="2" width="11.375" style="1688" customWidth="1"/>
    <col min="3" max="3" width="12.625" style="1688" customWidth="1"/>
    <col min="4" max="4" width="12.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235" t="str">
        <f>IF(B10="北京市","北京市",C10)&amp;F10&amp;B16&amp;"国有建设用地使用权"&amp;B9&amp;"预评估"</f>
        <v>北京市北京市通州区马驹桥镇金桥科技产业基地共2宗住宅用地出让国有建设用地使用权市场价格预评估</v>
      </c>
      <c r="C1" s="3236"/>
      <c r="D1" s="3236"/>
      <c r="E1" s="3236"/>
      <c r="F1" s="3236"/>
      <c r="G1" s="3236"/>
      <c r="H1" s="3236"/>
      <c r="I1" s="3237"/>
      <c r="J1" s="1691"/>
      <c r="K1" s="2453" t="str">
        <f>IF(B10="北京市","北京市",C10)&amp;F10&amp;B16&amp;"国有建设用地使用权"&amp;B9</f>
        <v>北京市北京市通州区马驹桥镇金桥科技产业基地共2宗住宅用地出让国有建设用地使用权市场价格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53" t="str">
        <f>IF(B10="北京市","北京市",C10)&amp;F10&amp;B16&amp;"国有建设用地使用权"</f>
        <v>北京市北京市通州区马驹桥镇金桥科技产业基地共2宗住宅用地出让国有建设用地使用权</v>
      </c>
      <c r="L2" s="1720"/>
      <c r="M2" s="1720"/>
      <c r="N2" s="1691"/>
      <c r="O2" s="1692"/>
      <c r="P2" s="1691"/>
      <c r="Q2" s="1691"/>
      <c r="R2" s="1691"/>
      <c r="S2" s="1691"/>
      <c r="T2" s="1691"/>
      <c r="U2" s="1691"/>
    </row>
    <row r="3" spans="1:21">
      <c r="A3" s="1658" t="s">
        <v>1942</v>
      </c>
      <c r="B3" s="1659">
        <v>43314</v>
      </c>
      <c r="C3" s="1660" t="s">
        <v>1998</v>
      </c>
      <c r="D3" s="1659">
        <f>B3</f>
        <v>43314</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3080</v>
      </c>
      <c r="C4" s="1843">
        <f ca="1">SUMIF(土地估价师,B4,估价师及机构信息!E3:E24)</f>
        <v>2002110125</v>
      </c>
      <c r="D4" s="1840" t="s">
        <v>2980</v>
      </c>
      <c r="E4" s="1843">
        <f ca="1">SUMIF(土地估价师,D4,估价师及机构信息!E3:E24)</f>
        <v>2011110090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吴薇、赵雯</v>
      </c>
      <c r="L4" s="1720"/>
      <c r="M4" s="1720"/>
      <c r="N4" s="1691"/>
      <c r="O4" s="1692"/>
      <c r="P4" s="1691"/>
      <c r="Q4" s="1691"/>
      <c r="R4" s="1691"/>
      <c r="S4" s="1691"/>
      <c r="T4" s="1691"/>
      <c r="U4" s="1691"/>
    </row>
    <row r="5" spans="1:21" ht="15" thickTop="1">
      <c r="A5" s="1662" t="s">
        <v>1944</v>
      </c>
      <c r="B5" s="1786" t="s">
        <v>3084</v>
      </c>
      <c r="C5" s="1663"/>
      <c r="D5" s="1664"/>
      <c r="E5" s="1691"/>
      <c r="F5" s="1691"/>
      <c r="G5" s="1691"/>
      <c r="H5" s="1657"/>
      <c r="I5" s="1692"/>
      <c r="J5" s="1691"/>
      <c r="K5" s="1771"/>
      <c r="L5" s="1720"/>
      <c r="M5" s="1720"/>
      <c r="N5" s="1691"/>
      <c r="O5" s="1692"/>
      <c r="P5" s="1691"/>
      <c r="Q5" s="1691"/>
      <c r="R5" s="1691"/>
      <c r="S5" s="1691"/>
      <c r="T5" s="1691"/>
      <c r="U5" s="1691"/>
    </row>
    <row r="6" spans="1:21" ht="13.5" customHeight="1">
      <c r="A6" s="1660" t="s">
        <v>2707</v>
      </c>
      <c r="B6" s="1786"/>
      <c r="C6" s="1758"/>
      <c r="D6" s="1665"/>
      <c r="E6" s="1691"/>
      <c r="F6" s="1691"/>
      <c r="G6" s="1691"/>
      <c r="H6" s="1657"/>
      <c r="I6" s="1692"/>
      <c r="J6" s="1691"/>
      <c r="K6" s="3053"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3081</v>
      </c>
      <c r="C8" s="1668"/>
      <c r="D8" s="3241" t="s">
        <v>1947</v>
      </c>
      <c r="E8" s="1841" t="s">
        <v>2981</v>
      </c>
      <c r="F8" s="1669"/>
      <c r="G8" s="1657"/>
      <c r="H8" s="1657"/>
      <c r="I8" s="1704"/>
      <c r="J8" s="1691"/>
      <c r="K8" s="1771"/>
      <c r="L8" s="1720"/>
      <c r="M8" s="1720"/>
      <c r="N8" s="1691"/>
      <c r="O8" s="1692"/>
      <c r="P8" s="1691"/>
      <c r="Q8" s="1691"/>
      <c r="R8" s="1691"/>
      <c r="S8" s="1691"/>
      <c r="T8" s="1691"/>
      <c r="U8" s="1691"/>
    </row>
    <row r="9" spans="1:21" ht="15" thickBot="1">
      <c r="A9" s="1670" t="s">
        <v>1946</v>
      </c>
      <c r="B9" s="1671" t="s">
        <v>3082</v>
      </c>
      <c r="C9" s="1672"/>
      <c r="D9" s="3242"/>
      <c r="E9" s="1671" t="s">
        <v>952</v>
      </c>
      <c r="F9" s="1744"/>
      <c r="G9" s="1739"/>
      <c r="H9" s="1739"/>
      <c r="I9" s="1740"/>
      <c r="J9" s="1691"/>
      <c r="K9" s="1771"/>
      <c r="L9" s="1720"/>
      <c r="M9" s="1720"/>
      <c r="N9" s="1691"/>
      <c r="O9" s="1692"/>
      <c r="P9" s="1691"/>
      <c r="Q9" s="1691"/>
      <c r="R9" s="1691"/>
      <c r="S9" s="1691"/>
      <c r="T9" s="1691"/>
      <c r="U9" s="1691"/>
    </row>
    <row r="10" spans="1:21" ht="15" thickTop="1">
      <c r="A10" s="1741" t="s">
        <v>2001</v>
      </c>
      <c r="B10" s="1716" t="s">
        <v>1948</v>
      </c>
      <c r="C10" s="1673"/>
      <c r="D10" s="1664"/>
      <c r="E10" s="1674" t="s">
        <v>1949</v>
      </c>
      <c r="F10" s="1675" t="s">
        <v>3131</v>
      </c>
      <c r="G10" s="1742"/>
      <c r="H10" s="1743"/>
      <c r="I10" s="1664"/>
      <c r="J10" s="1691"/>
      <c r="K10" s="1771"/>
      <c r="L10" s="1720"/>
      <c r="M10" s="1720"/>
      <c r="N10" s="1691"/>
      <c r="O10" s="1692"/>
      <c r="P10" s="1691"/>
      <c r="Q10" s="1691"/>
      <c r="R10" s="1691"/>
      <c r="S10" s="1691"/>
      <c r="T10" s="1691"/>
      <c r="U10" s="1691"/>
    </row>
    <row r="11" spans="1:21" ht="42.75">
      <c r="A11" s="1694" t="s">
        <v>2002</v>
      </c>
      <c r="B11" s="1695" t="s">
        <v>2982</v>
      </c>
      <c r="C11" s="1676" t="str">
        <f>B5</f>
        <v>北京捷宸阳光科技发展有限公司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238" t="s">
        <v>3130</v>
      </c>
      <c r="C12" s="3239"/>
      <c r="D12" s="3240"/>
      <c r="E12" s="1696" t="s">
        <v>2063</v>
      </c>
      <c r="F12" s="3256" t="s">
        <v>2890</v>
      </c>
      <c r="G12" s="3257"/>
      <c r="H12" s="3257"/>
      <c r="I12" s="3258"/>
      <c r="J12" s="1691"/>
      <c r="K12" s="1771"/>
      <c r="L12" s="1720"/>
      <c r="M12" s="1720"/>
      <c r="N12" s="1691"/>
      <c r="O12" s="1692"/>
      <c r="P12" s="1691"/>
      <c r="Q12" s="1691"/>
      <c r="R12" s="1691"/>
      <c r="S12" s="1691"/>
      <c r="T12" s="1691"/>
      <c r="U12" s="1691"/>
    </row>
    <row r="13" spans="1:21">
      <c r="A13" s="1684" t="s">
        <v>2061</v>
      </c>
      <c r="B13" s="3238" t="str">
        <f>B12</f>
        <v>住宅用地</v>
      </c>
      <c r="C13" s="3239"/>
      <c r="D13" s="3240"/>
      <c r="E13" s="1696" t="s">
        <v>2063</v>
      </c>
      <c r="F13" s="3256" t="s">
        <v>3083</v>
      </c>
      <c r="G13" s="3257"/>
      <c r="H13" s="3257"/>
      <c r="I13" s="3258"/>
      <c r="J13" s="1691"/>
      <c r="K13" s="1771"/>
      <c r="L13" s="1720"/>
      <c r="M13" s="1720"/>
      <c r="N13" s="1691"/>
      <c r="O13" s="1692"/>
      <c r="P13" s="1691"/>
      <c r="Q13" s="1691"/>
      <c r="R13" s="1691"/>
      <c r="S13" s="1691"/>
      <c r="T13" s="1691"/>
      <c r="U13" s="1691"/>
    </row>
    <row r="14" spans="1:21">
      <c r="A14" s="1658" t="s">
        <v>2064</v>
      </c>
      <c r="B14" s="1696"/>
      <c r="C14" s="1842" t="s">
        <v>2983</v>
      </c>
      <c r="D14" s="1730" t="str">
        <f>IF(C14="不一致","是否符合证载地类范围","")</f>
        <v/>
      </c>
      <c r="E14" s="1696"/>
      <c r="F14" s="1787" t="s">
        <v>2984</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2985</v>
      </c>
      <c r="C16" s="1696" t="s">
        <v>1951</v>
      </c>
      <c r="D16" s="2644" t="s">
        <v>1952</v>
      </c>
      <c r="E16" s="1719" t="s">
        <v>3189</v>
      </c>
      <c r="F16" s="1719"/>
      <c r="G16" s="1719" t="s">
        <v>35</v>
      </c>
      <c r="H16" s="1719"/>
      <c r="I16" s="1683" t="s">
        <v>1957</v>
      </c>
      <c r="J16" s="1691"/>
      <c r="K16" s="2454" t="str">
        <f>IF(D17="","",D16&amp;TEXT(D17,"yyyy年m月d日;;"))</f>
        <v>住宅2078年8月19日</v>
      </c>
      <c r="L16" s="1696" t="str">
        <f>IF(OR(K16="",M16=""),"","、")</f>
        <v>、</v>
      </c>
      <c r="M16" s="2454" t="str">
        <f>IF(E17="","",E16&amp;TEXT(E17,"yyyy年m月d日;;"))</f>
        <v>商业2048年8月19日</v>
      </c>
      <c r="N16" s="1696" t="str">
        <f>IF(OR(M16="",O16=""),"","、")</f>
        <v/>
      </c>
      <c r="O16" s="2454" t="str">
        <f>IF(F17="","",F16&amp;TEXT(F17,"yyyy年m月d日;;"))</f>
        <v/>
      </c>
      <c r="P16" s="1696" t="str">
        <f>IF(OR(O16="",Q16=""),"","、")</f>
        <v/>
      </c>
      <c r="Q16" s="2454" t="str">
        <f>IF(G17="","",G16&amp;TEXT(G17,"yyyy年m月d日;;"))</f>
        <v>地下车库2058年8月19日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65246</v>
      </c>
      <c r="E17" s="1697">
        <v>54289</v>
      </c>
      <c r="F17" s="1697"/>
      <c r="G17" s="1697">
        <v>57941</v>
      </c>
      <c r="H17" s="1697"/>
      <c r="I17" s="1697"/>
      <c r="J17" s="1691"/>
      <c r="K17" s="2453" t="str">
        <f>CONCATENATE(K16,L16,M16,N16,O16,P16,Q16,R16,S16,T16,,U16)</f>
        <v>住宅2078年8月19日、商业2048年8月19日地下车库2058年8月19日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60.08</v>
      </c>
      <c r="E19" s="1682">
        <f>IF(B16="出让",IF(E17="","",ROUNDDOWN(MIN((E17-$D$3)/365,E18),2)),E18)</f>
        <v>30.06</v>
      </c>
      <c r="F19" s="1682" t="str">
        <f>IF(B16="出让",IF(F17="","",ROUNDDOWN(MIN((F17-$D$3)/365,F18),2)),F18)</f>
        <v/>
      </c>
      <c r="G19" s="1682">
        <f>IF(B16="出让",IF(G17="","",ROUNDDOWN(MIN((G17-$D$3)/365,G18),2)),G18)</f>
        <v>40.07</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53"/>
      <c r="E20" s="3254"/>
      <c r="F20" s="3254"/>
      <c r="G20" s="3254"/>
      <c r="H20" s="3254"/>
      <c r="I20" s="3255"/>
      <c r="J20" s="1691"/>
      <c r="K20" s="1771"/>
      <c r="L20" s="1720"/>
      <c r="M20" s="1720"/>
      <c r="N20" s="1691"/>
      <c r="O20" s="1692"/>
      <c r="P20" s="1691"/>
      <c r="Q20" s="1691"/>
      <c r="R20" s="1691"/>
      <c r="S20" s="1691"/>
      <c r="T20" s="1691"/>
      <c r="U20" s="1691"/>
    </row>
    <row r="21" spans="1:21">
      <c r="A21" s="1760" t="s">
        <v>1961</v>
      </c>
      <c r="B21" s="1761" t="s">
        <v>1962</v>
      </c>
      <c r="C21" s="1756">
        <f>'数据-汇总表'!E3</f>
        <v>275000</v>
      </c>
      <c r="D21" s="1757" t="s">
        <v>1963</v>
      </c>
      <c r="E21" s="3243" t="s">
        <v>3075</v>
      </c>
      <c r="F21" s="3244"/>
      <c r="G21" s="3244"/>
      <c r="H21" s="3244"/>
      <c r="I21" s="3245"/>
      <c r="J21" s="1691"/>
      <c r="K21" s="1771"/>
      <c r="L21" s="1720"/>
      <c r="M21" s="1720"/>
      <c r="N21" s="1691"/>
      <c r="O21" s="1692"/>
      <c r="P21" s="1691"/>
      <c r="Q21" s="1691"/>
      <c r="R21" s="1691"/>
      <c r="S21" s="1691"/>
      <c r="T21" s="1691"/>
      <c r="U21" s="1691"/>
    </row>
    <row r="22" spans="1:21">
      <c r="A22" s="3145" t="s">
        <v>952</v>
      </c>
      <c r="B22" s="1658" t="s">
        <v>1964</v>
      </c>
      <c r="C22" s="1683">
        <f>'数据-汇总表'!D3</f>
        <v>86802.49</v>
      </c>
      <c r="D22" s="1684" t="s">
        <v>1963</v>
      </c>
      <c r="E22" s="3243" t="s">
        <v>3074</v>
      </c>
      <c r="F22" s="3244"/>
      <c r="G22" s="3244"/>
      <c r="H22" s="3244"/>
      <c r="I22" s="3245"/>
      <c r="J22" s="1691"/>
      <c r="K22" s="1771"/>
      <c r="L22" s="1720"/>
      <c r="M22" s="1720"/>
      <c r="N22" s="1691"/>
      <c r="O22" s="1692"/>
      <c r="P22" s="1691"/>
      <c r="Q22" s="1691"/>
      <c r="R22" s="1691"/>
      <c r="S22" s="1691"/>
      <c r="T22" s="1691"/>
      <c r="U22" s="1691"/>
    </row>
    <row r="23" spans="1:21" ht="43.5" thickBot="1">
      <c r="A23" s="1762" t="s">
        <v>1965</v>
      </c>
      <c r="B23" s="1698" t="s">
        <v>1966</v>
      </c>
      <c r="C23" s="1699" t="s">
        <v>2986</v>
      </c>
      <c r="D23" s="1700" t="s">
        <v>1967</v>
      </c>
      <c r="E23" s="1701" t="s">
        <v>2986</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46" t="s">
        <v>1969</v>
      </c>
      <c r="C24" s="3247"/>
      <c r="D24" s="3248" t="s">
        <v>1970</v>
      </c>
      <c r="E24" s="3249"/>
      <c r="F24" s="1705" t="s">
        <v>1971</v>
      </c>
      <c r="G24" s="1691"/>
      <c r="H24" s="1691"/>
      <c r="I24" s="1704"/>
      <c r="J24" s="1691"/>
      <c r="K24" s="3234" t="s">
        <v>1972</v>
      </c>
      <c r="L24" s="2455" t="str">
        <f>"根据估价对象"&amp;IF(B26="——",B25&amp;C25,B25&amp;C25&amp;"、"&amp;B26&amp;C26)&amp;"，"&amp;IF(C23="是","截至估价期日，估价对象已设定抵押。","截至估价期日，估价对象抵押权未见登记。")</f>
        <v>根据估价对象《不动产权证书》原件、《国有土地使用权》——，截至估价期日，估价对象抵押权未见登记。</v>
      </c>
      <c r="M24" s="1720"/>
      <c r="N24" s="1691"/>
      <c r="O24" s="1692"/>
      <c r="P24" s="1691"/>
      <c r="Q24" s="1691"/>
      <c r="R24" s="1691"/>
      <c r="S24" s="1691"/>
      <c r="T24" s="1691"/>
      <c r="U24" s="1691"/>
    </row>
    <row r="25" spans="1:21" ht="28.5">
      <c r="A25" s="1748"/>
      <c r="B25" s="1745" t="s">
        <v>2327</v>
      </c>
      <c r="C25" s="1706" t="s">
        <v>1973</v>
      </c>
      <c r="D25" s="1707"/>
      <c r="E25" s="1708" t="s">
        <v>952</v>
      </c>
      <c r="F25" s="1709"/>
      <c r="G25" s="1691"/>
      <c r="H25" s="1691"/>
      <c r="I25" s="1704"/>
      <c r="J25" s="1691"/>
      <c r="K25" s="3234"/>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1974</v>
      </c>
      <c r="C26" s="1706" t="s">
        <v>952</v>
      </c>
      <c r="D26" s="1657"/>
      <c r="E26" s="1657"/>
      <c r="F26" s="1685"/>
      <c r="G26" s="1691"/>
      <c r="H26" s="1691"/>
      <c r="I26" s="1704"/>
      <c r="J26" s="1691"/>
      <c r="K26" s="3234"/>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61" t="s">
        <v>2003</v>
      </c>
      <c r="B31" s="1761" t="s">
        <v>2004</v>
      </c>
      <c r="C31" s="3259" t="s">
        <v>3076</v>
      </c>
      <c r="D31" s="3260"/>
      <c r="E31" s="1691"/>
      <c r="F31" s="1691"/>
      <c r="G31" s="1691"/>
      <c r="H31" s="1691"/>
      <c r="I31" s="1704"/>
      <c r="J31" s="1691"/>
      <c r="K31" s="2456"/>
      <c r="L31" s="1691"/>
      <c r="M31" s="1691"/>
      <c r="N31" s="1691"/>
      <c r="O31" s="1691"/>
      <c r="P31" s="1691"/>
      <c r="Q31" s="1691"/>
      <c r="R31" s="1691"/>
      <c r="S31" s="1691"/>
      <c r="T31" s="1691"/>
      <c r="U31" s="1691"/>
    </row>
    <row r="32" spans="1:21">
      <c r="A32" s="3261"/>
      <c r="B32" s="1658" t="s">
        <v>2005</v>
      </c>
      <c r="C32" s="1716" t="s">
        <v>3036</v>
      </c>
      <c r="D32" s="1717"/>
      <c r="E32" s="1691"/>
      <c r="F32" s="1691"/>
      <c r="G32" s="1691"/>
      <c r="H32" s="1691"/>
      <c r="I32" s="1704"/>
      <c r="J32" s="1691"/>
      <c r="K32" s="2456"/>
      <c r="L32" s="1691"/>
      <c r="M32" s="1691"/>
      <c r="N32" s="1691"/>
      <c r="O32" s="1691"/>
      <c r="P32" s="1691"/>
      <c r="Q32" s="1691"/>
      <c r="R32" s="1691"/>
      <c r="S32" s="1691"/>
      <c r="T32" s="1691"/>
      <c r="U32" s="1691"/>
    </row>
    <row r="33" spans="1:21">
      <c r="A33" s="3261"/>
      <c r="B33" s="1658" t="s">
        <v>2006</v>
      </c>
      <c r="C33" s="1718" t="s">
        <v>3134</v>
      </c>
      <c r="D33" s="1835"/>
      <c r="E33" s="1691"/>
      <c r="F33" s="1691"/>
      <c r="G33" s="1691"/>
      <c r="H33" s="1691"/>
      <c r="I33" s="1704"/>
      <c r="J33" s="1691"/>
      <c r="K33" s="2456"/>
      <c r="L33" s="1691"/>
      <c r="M33" s="1691"/>
      <c r="N33" s="1691"/>
      <c r="O33" s="1691"/>
      <c r="P33" s="1691"/>
      <c r="Q33" s="1691"/>
      <c r="R33" s="1691"/>
      <c r="S33" s="1691"/>
      <c r="T33" s="1691"/>
      <c r="U33" s="1691"/>
    </row>
    <row r="34" spans="1:21">
      <c r="A34" s="3262"/>
      <c r="B34" s="1658" t="s">
        <v>2007</v>
      </c>
      <c r="C34" s="3263" t="s">
        <v>3135</v>
      </c>
      <c r="D34" s="3264"/>
      <c r="E34" s="1691"/>
      <c r="F34" s="1691"/>
      <c r="G34" s="1691"/>
      <c r="H34" s="1691"/>
      <c r="I34" s="1704"/>
      <c r="J34" s="1691"/>
      <c r="K34" s="2456"/>
      <c r="L34" s="1691"/>
      <c r="M34" s="1691"/>
      <c r="N34" s="1691"/>
      <c r="O34" s="1691"/>
      <c r="P34" s="1691"/>
      <c r="Q34" s="1691"/>
      <c r="R34" s="1691"/>
      <c r="S34" s="1691"/>
      <c r="T34" s="1691"/>
      <c r="U34" s="1691"/>
    </row>
    <row r="35" spans="1:21">
      <c r="A35" s="3265" t="s">
        <v>847</v>
      </c>
      <c r="B35" s="1719" t="s">
        <v>3077</v>
      </c>
      <c r="C35" s="1773" t="str">
        <f>IF(B35="场地平整","——","具体情况：")</f>
        <v>——</v>
      </c>
      <c r="D35" s="3267"/>
      <c r="E35" s="3268"/>
      <c r="F35" s="3268"/>
      <c r="G35" s="3268"/>
      <c r="H35" s="3268"/>
      <c r="I35" s="3269"/>
      <c r="J35" s="1691"/>
      <c r="K35" s="1772"/>
      <c r="L35" s="1720"/>
      <c r="M35" s="1720"/>
      <c r="N35" s="1691"/>
      <c r="O35" s="1692"/>
      <c r="P35" s="1691"/>
      <c r="Q35" s="1691"/>
      <c r="R35" s="1691"/>
      <c r="S35" s="1691"/>
      <c r="T35" s="1691"/>
      <c r="U35" s="1691"/>
    </row>
    <row r="36" spans="1:21">
      <c r="A36" s="3261"/>
      <c r="B36" s="3270" t="s">
        <v>2056</v>
      </c>
      <c r="C36" s="3271"/>
      <c r="D36" s="1789"/>
      <c r="E36" s="3272"/>
      <c r="F36" s="3272"/>
      <c r="G36" s="1684" t="str">
        <f>IF(B35="场地未平整","估价结果处理","")</f>
        <v/>
      </c>
      <c r="H36" s="3273"/>
      <c r="I36" s="3273"/>
      <c r="J36" s="1691"/>
      <c r="K36" s="1772"/>
      <c r="L36" s="1720"/>
      <c r="M36" s="1720"/>
      <c r="N36" s="1691"/>
      <c r="O36" s="1692"/>
      <c r="P36" s="1691"/>
      <c r="Q36" s="1691"/>
      <c r="R36" s="1691"/>
      <c r="S36" s="1691"/>
      <c r="T36" s="1691"/>
      <c r="U36" s="1691"/>
    </row>
    <row r="37" spans="1:21" ht="28.5">
      <c r="A37" s="3261"/>
      <c r="B37" s="3250"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61"/>
      <c r="B38" s="3251"/>
      <c r="C38" s="1666" t="s">
        <v>850</v>
      </c>
      <c r="D38" s="1788">
        <f>ROUNDDOWN(MIN(('数据-取费表'!$B$2-D37)/365,D34),1)</f>
        <v>118.6</v>
      </c>
      <c r="E38" s="1724" t="s">
        <v>851</v>
      </c>
      <c r="F38" s="1691"/>
      <c r="G38" s="1691"/>
      <c r="H38" s="1691"/>
      <c r="I38" s="1704"/>
      <c r="J38" s="1691"/>
      <c r="K38" s="1772"/>
      <c r="L38" s="1691"/>
      <c r="M38" s="1691"/>
      <c r="N38" s="1691"/>
      <c r="O38" s="1691"/>
      <c r="P38" s="1691"/>
      <c r="Q38" s="1691"/>
      <c r="R38" s="1691"/>
      <c r="S38" s="1691"/>
      <c r="T38" s="1691"/>
      <c r="U38" s="1691"/>
    </row>
    <row r="39" spans="1:21">
      <c r="A39" s="3262"/>
      <c r="B39" s="3252"/>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t="s">
        <v>2987</v>
      </c>
      <c r="C40" s="1687" t="s">
        <v>2988</v>
      </c>
      <c r="D40" s="1687" t="s">
        <v>2989</v>
      </c>
      <c r="E40" s="1687" t="s">
        <v>3132</v>
      </c>
      <c r="F40" s="1687" t="s">
        <v>3133</v>
      </c>
      <c r="G40" s="1687"/>
      <c r="H40" s="1687"/>
      <c r="I40" s="1704"/>
      <c r="J40" s="1691"/>
      <c r="K40" s="1727">
        <f>COUNTIF(B40:H40,"——")</f>
        <v>0</v>
      </c>
      <c r="L40" s="1696" t="s">
        <v>1981</v>
      </c>
      <c r="M40" s="1693" t="s">
        <v>1982</v>
      </c>
      <c r="N40" s="1693" t="s">
        <v>1983</v>
      </c>
      <c r="O40" s="1693" t="s">
        <v>1984</v>
      </c>
      <c r="P40" s="1693" t="s">
        <v>1985</v>
      </c>
      <c r="Q40" s="1693" t="s">
        <v>1986</v>
      </c>
      <c r="R40" s="1693" t="s">
        <v>1987</v>
      </c>
      <c r="S40" s="3233" t="s">
        <v>1988</v>
      </c>
      <c r="T40" s="1728" t="str">
        <f>NUMBERSTRING(7-K40,1)&amp;"通"</f>
        <v>七通</v>
      </c>
      <c r="U40" s="1691"/>
    </row>
    <row r="41" spans="1:21">
      <c r="A41" s="1660"/>
      <c r="B41" s="3266" t="s">
        <v>1722</v>
      </c>
      <c r="C41" s="3266"/>
      <c r="D41" s="3266"/>
      <c r="E41" s="3266"/>
      <c r="F41" s="1729">
        <f>C10</f>
        <v>0</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通路、通电、通上水、通下水</v>
      </c>
      <c r="P41" s="1731" t="str">
        <f>B40&amp;"、"&amp;C40&amp;"、"&amp;D40&amp;"、"&amp;E40&amp;"、"&amp;F40</f>
        <v>通路、通电、通上水、通下水、燃气</v>
      </c>
      <c r="Q41" s="1731" t="str">
        <f>B40&amp;"、"&amp;C40&amp;"、"&amp;D40&amp;"、"&amp;E40&amp;"、"&amp;F40&amp;"、"&amp;G40</f>
        <v>通路、通电、通上水、通下水、燃气、</v>
      </c>
      <c r="R41" s="1731" t="str">
        <f>B40&amp;"、"&amp;C40&amp;"、"&amp;D40&amp;"、"&amp;E40&amp;"、"&amp;F40&amp;"、"&amp;G40&amp;"、"&amp;H40</f>
        <v>通路、通电、通上水、通下水、燃气、、</v>
      </c>
      <c r="S41" s="3233"/>
      <c r="T41" s="1730" t="str">
        <f>IF(T40="一通",L41,IF(T40="二通",M41,IF(T40="三通",N41,IF(T40="四通",O41,IF(T40="五通",P41,IF(T40="六通",Q41,R41))))))</f>
        <v>通路、通电、通上水、通下水、燃气、、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1416</v>
      </c>
      <c r="C43" s="1735"/>
      <c r="D43" s="1735" t="s">
        <v>1416</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3188</v>
      </c>
      <c r="C44" s="1735"/>
      <c r="D44" s="1735" t="s">
        <v>3188</v>
      </c>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2891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4" sqref="L24"/>
    </sheetView>
  </sheetViews>
  <sheetFormatPr defaultColWidth="8.875" defaultRowHeight="14.25"/>
  <cols>
    <col min="1" max="1" width="9" style="15" customWidth="1"/>
    <col min="2" max="2" width="9.625"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198">
        <f>34937.765+51864.729</f>
        <v>86802.494000000006</v>
      </c>
      <c r="B3" s="21">
        <f>IF(C3="否",G5-AT5,G5)</f>
        <v>275000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275000</v>
      </c>
      <c r="H5" s="26">
        <f t="shared" ref="H5:AT5" si="0">SUM(H13:H641)</f>
        <v>211350</v>
      </c>
      <c r="I5" s="26">
        <f t="shared" si="0"/>
        <v>180600</v>
      </c>
      <c r="J5" s="26">
        <f t="shared" si="0"/>
        <v>0</v>
      </c>
      <c r="K5" s="26">
        <f t="shared" si="0"/>
        <v>10750</v>
      </c>
      <c r="L5" s="26">
        <f t="shared" si="0"/>
        <v>0</v>
      </c>
      <c r="M5" s="26">
        <f t="shared" si="0"/>
        <v>20000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63650</v>
      </c>
      <c r="AD5" s="26">
        <f t="shared" si="0"/>
        <v>23650.000000000004</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40000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275000</v>
      </c>
      <c r="BA5" s="28">
        <f t="shared" si="1"/>
        <v>211350</v>
      </c>
      <c r="BB5" s="28">
        <f t="shared" si="1"/>
        <v>180600</v>
      </c>
      <c r="BC5" s="28">
        <f t="shared" si="1"/>
        <v>10750</v>
      </c>
      <c r="BD5" s="28">
        <f t="shared" si="1"/>
        <v>20000</v>
      </c>
      <c r="BE5" s="28">
        <f t="shared" si="1"/>
        <v>0</v>
      </c>
      <c r="BF5" s="28">
        <f t="shared" si="1"/>
        <v>0</v>
      </c>
      <c r="BG5" s="28">
        <f t="shared" si="1"/>
        <v>0</v>
      </c>
      <c r="BH5" s="28">
        <f t="shared" si="1"/>
        <v>0</v>
      </c>
      <c r="BI5" s="28">
        <f t="shared" si="1"/>
        <v>0</v>
      </c>
      <c r="BJ5" s="28">
        <f t="shared" si="1"/>
        <v>0</v>
      </c>
      <c r="BK5" s="28">
        <f t="shared" si="1"/>
        <v>0</v>
      </c>
      <c r="BL5" s="28">
        <f t="shared" si="1"/>
        <v>63650</v>
      </c>
      <c r="BM5" s="28">
        <f t="shared" si="1"/>
        <v>23650.000000000004</v>
      </c>
      <c r="BN5" s="28">
        <f t="shared" si="1"/>
        <v>0</v>
      </c>
      <c r="BO5" s="28">
        <f t="shared" si="1"/>
        <v>0</v>
      </c>
      <c r="BP5" s="28">
        <f t="shared" si="1"/>
        <v>0</v>
      </c>
      <c r="BQ5" s="28">
        <f t="shared" si="1"/>
        <v>0</v>
      </c>
      <c r="BR5" s="28">
        <f t="shared" si="1"/>
        <v>40000</v>
      </c>
      <c r="BS5" s="28">
        <f t="shared" si="1"/>
        <v>0</v>
      </c>
      <c r="BT5" s="29">
        <f t="shared" si="1"/>
        <v>0</v>
      </c>
    </row>
    <row r="6" spans="1:72" s="36" customFormat="1" ht="12.75">
      <c r="A6" s="25" t="s">
        <v>169</v>
      </c>
      <c r="B6" s="30"/>
      <c r="C6" s="30"/>
      <c r="D6" s="31"/>
      <c r="E6" s="26">
        <f>H6+AC6+AT6</f>
        <v>86802.5</v>
      </c>
      <c r="F6" s="26" t="s">
        <v>1</v>
      </c>
      <c r="G6" s="26" t="s">
        <v>2</v>
      </c>
      <c r="H6" s="32">
        <f>SUMIF(I$12:AB$12,"总值",I6:AB6)</f>
        <v>66711.67</v>
      </c>
      <c r="I6" s="26">
        <f t="shared" ref="I6:AB6" si="2">ROUND($A$3*I5/$B$3,2)</f>
        <v>57005.57</v>
      </c>
      <c r="J6" s="26">
        <f t="shared" si="2"/>
        <v>0</v>
      </c>
      <c r="K6" s="26">
        <f t="shared" si="2"/>
        <v>3393.19</v>
      </c>
      <c r="L6" s="26">
        <f t="shared" si="2"/>
        <v>0</v>
      </c>
      <c r="M6" s="26">
        <f t="shared" si="2"/>
        <v>6312.91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20090.830000000002</v>
      </c>
      <c r="AD6" s="26">
        <f t="shared" ref="AD6:AS6" si="3">ROUND($A$3*AD5/$B$3,2)</f>
        <v>7465.01</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12625.82</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86802.49</v>
      </c>
      <c r="AZ6" s="26" t="s">
        <v>3</v>
      </c>
      <c r="BA6" s="26">
        <f>ROUND($AY$6*BA5/$AZ$5,2)</f>
        <v>66711.66</v>
      </c>
      <c r="BB6" s="26">
        <f>ROUND($AY$6*BB5/$AZ$5,2)</f>
        <v>57005.56</v>
      </c>
      <c r="BC6" s="26">
        <f t="shared" ref="BC6:BH6" si="4">ROUND($AY$6*BC5/$AZ$5,2)</f>
        <v>3393.19</v>
      </c>
      <c r="BD6" s="26">
        <f t="shared" si="4"/>
        <v>6312.91</v>
      </c>
      <c r="BE6" s="26">
        <f t="shared" si="4"/>
        <v>0</v>
      </c>
      <c r="BF6" s="26">
        <f t="shared" si="4"/>
        <v>0</v>
      </c>
      <c r="BG6" s="26">
        <f t="shared" si="4"/>
        <v>0</v>
      </c>
      <c r="BH6" s="26">
        <f t="shared" si="4"/>
        <v>0</v>
      </c>
      <c r="BI6" s="26">
        <f t="shared" ref="BI6:BT6" si="5">ROUND($AY$6*BI5/$AZ$5,2)</f>
        <v>0</v>
      </c>
      <c r="BJ6" s="26">
        <f t="shared" si="5"/>
        <v>0</v>
      </c>
      <c r="BK6" s="26">
        <f t="shared" si="5"/>
        <v>0</v>
      </c>
      <c r="BL6" s="26">
        <f t="shared" si="5"/>
        <v>20090.830000000002</v>
      </c>
      <c r="BM6" s="26">
        <f t="shared" si="5"/>
        <v>7465.01</v>
      </c>
      <c r="BN6" s="26">
        <f t="shared" si="5"/>
        <v>0</v>
      </c>
      <c r="BO6" s="26">
        <f t="shared" si="5"/>
        <v>0</v>
      </c>
      <c r="BP6" s="26">
        <f t="shared" si="5"/>
        <v>0</v>
      </c>
      <c r="BQ6" s="26">
        <f t="shared" si="5"/>
        <v>0</v>
      </c>
      <c r="BR6" s="26">
        <f t="shared" si="5"/>
        <v>12625.82</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5"/>
      <c r="AT8" s="2326" t="s">
        <v>855</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17" t="s">
        <v>2990</v>
      </c>
      <c r="J9" s="50"/>
      <c r="K9" s="3017" t="s">
        <v>2990</v>
      </c>
      <c r="L9" s="50"/>
      <c r="M9" s="3017" t="s">
        <v>3202</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7"/>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17" t="s">
        <v>923</v>
      </c>
      <c r="J10" s="50"/>
      <c r="K10" s="3019" t="s">
        <v>3189</v>
      </c>
      <c r="L10" s="50"/>
      <c r="M10" s="3019" t="s">
        <v>3194</v>
      </c>
      <c r="N10" s="50"/>
      <c r="O10" s="65"/>
      <c r="P10" s="50"/>
      <c r="Q10" s="65"/>
      <c r="R10" s="50"/>
      <c r="S10" s="65"/>
      <c r="T10" s="50"/>
      <c r="U10" s="65"/>
      <c r="V10" s="50"/>
      <c r="W10" s="65"/>
      <c r="X10" s="50"/>
      <c r="Y10" s="65"/>
      <c r="Z10" s="50"/>
      <c r="AA10" s="65"/>
      <c r="AB10" s="50"/>
      <c r="AC10" s="54"/>
      <c r="AD10" s="2312" t="s">
        <v>2319</v>
      </c>
      <c r="AE10" s="2334"/>
      <c r="AF10" s="2312" t="s">
        <v>2319</v>
      </c>
      <c r="AG10" s="2334"/>
      <c r="AH10" s="2312" t="s">
        <v>2320</v>
      </c>
      <c r="AI10" s="2334"/>
      <c r="AJ10" s="25" t="s">
        <v>2332</v>
      </c>
      <c r="AK10" s="2331"/>
      <c r="AL10" s="2312" t="s">
        <v>2321</v>
      </c>
      <c r="AM10" s="2313"/>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18" t="s">
        <v>3200</v>
      </c>
      <c r="J11" s="70"/>
      <c r="K11" s="3018" t="s">
        <v>3201</v>
      </c>
      <c r="L11" s="70"/>
      <c r="M11" s="69" t="s">
        <v>3194</v>
      </c>
      <c r="N11" s="70"/>
      <c r="O11" s="69"/>
      <c r="P11" s="70"/>
      <c r="Q11" s="69"/>
      <c r="R11" s="70"/>
      <c r="S11" s="69"/>
      <c r="T11" s="70"/>
      <c r="U11" s="69"/>
      <c r="V11" s="70"/>
      <c r="W11" s="69"/>
      <c r="X11" s="70"/>
      <c r="Y11" s="69"/>
      <c r="Z11" s="70"/>
      <c r="AA11" s="69"/>
      <c r="AB11" s="70"/>
      <c r="AC11" s="54"/>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12"/>
      <c r="B13" s="3012"/>
      <c r="C13" s="3012" t="s">
        <v>3198</v>
      </c>
      <c r="D13" s="3013" t="s">
        <v>1679</v>
      </c>
      <c r="E13" s="26">
        <f t="shared" ref="E13:E20" si="6">IF($C$3="是",ROUND($A$3*G13/$B$3,2),ROUND($A$3*(G13-AT13)/$B$3,2))</f>
        <v>64470.58</v>
      </c>
      <c r="F13" s="80"/>
      <c r="G13" s="81">
        <f t="shared" ref="G13:G20" si="7">H13+AC13+AT13</f>
        <v>204250</v>
      </c>
      <c r="H13" s="32">
        <f t="shared" ref="H13:H20" si="8">SUMIF(I$12:AB$12,"总值",I13:AB13)</f>
        <v>180600</v>
      </c>
      <c r="I13" s="3016">
        <f>技术经济指标!H12</f>
        <v>180600</v>
      </c>
      <c r="J13" s="3016"/>
      <c r="K13" s="3016"/>
      <c r="L13" s="3016"/>
      <c r="M13" s="3016"/>
      <c r="N13" s="82"/>
      <c r="O13" s="82"/>
      <c r="P13" s="82"/>
      <c r="Q13" s="82"/>
      <c r="R13" s="82"/>
      <c r="S13" s="82"/>
      <c r="T13" s="82"/>
      <c r="U13" s="82"/>
      <c r="V13" s="82"/>
      <c r="W13" s="82"/>
      <c r="X13" s="82"/>
      <c r="Y13" s="82"/>
      <c r="Z13" s="82"/>
      <c r="AA13" s="82"/>
      <c r="AB13" s="82"/>
      <c r="AC13" s="26">
        <f t="shared" ref="AC13:AC20" si="9">SUMIF(AD$12:AS$12,"总值",AD13:AS13)</f>
        <v>23650.000000000004</v>
      </c>
      <c r="AD13" s="3020">
        <f>技术经济指标!H14</f>
        <v>23650.000000000004</v>
      </c>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住宅</v>
      </c>
      <c r="AY13" s="994">
        <f t="shared" ref="AY13:AY20" si="11">ROUND($AY$6*AZ13/$AZ$5,2)</f>
        <v>64470.58</v>
      </c>
      <c r="AZ13" s="26">
        <f t="shared" ref="AZ13:AZ20" si="12">BA13+BL13</f>
        <v>204250</v>
      </c>
      <c r="BA13" s="26">
        <f t="shared" ref="BA13:BA20" si="13">SUM(BB13:BK13)</f>
        <v>180600</v>
      </c>
      <c r="BB13" s="26">
        <f t="shared" ref="BB13:BB20" si="14">IF($D13="是",I13-J13,0)</f>
        <v>180600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23650.000000000004</v>
      </c>
      <c r="BM13" s="26">
        <f t="shared" ref="BM13:BM20" si="25">IF($D13="是",AD13-AE13,0)</f>
        <v>23650.000000000004</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12"/>
      <c r="B14" s="3012"/>
      <c r="C14" s="3012" t="s">
        <v>3199</v>
      </c>
      <c r="D14" s="3013" t="s">
        <v>1679</v>
      </c>
      <c r="E14" s="26">
        <f t="shared" si="6"/>
        <v>3393.19</v>
      </c>
      <c r="F14" s="80"/>
      <c r="G14" s="81">
        <f t="shared" si="7"/>
        <v>10750</v>
      </c>
      <c r="H14" s="32">
        <f t="shared" si="8"/>
        <v>10750</v>
      </c>
      <c r="I14" s="3016"/>
      <c r="J14" s="3016"/>
      <c r="K14" s="3016">
        <f>技术经济指标!H13</f>
        <v>10750</v>
      </c>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商业</v>
      </c>
      <c r="AY14" s="994">
        <f t="shared" si="11"/>
        <v>3393.19</v>
      </c>
      <c r="AZ14" s="26">
        <f t="shared" si="12"/>
        <v>10750</v>
      </c>
      <c r="BA14" s="26">
        <f t="shared" si="13"/>
        <v>10750</v>
      </c>
      <c r="BB14" s="26">
        <f t="shared" si="14"/>
        <v>0</v>
      </c>
      <c r="BC14" s="26">
        <f t="shared" si="15"/>
        <v>10750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12"/>
      <c r="B15" s="3012"/>
      <c r="C15" s="3014" t="s">
        <v>3203</v>
      </c>
      <c r="D15" s="3013" t="s">
        <v>1679</v>
      </c>
      <c r="E15" s="26">
        <f t="shared" si="6"/>
        <v>18938.73</v>
      </c>
      <c r="F15" s="80"/>
      <c r="G15" s="81">
        <f t="shared" si="7"/>
        <v>60000</v>
      </c>
      <c r="H15" s="32">
        <f t="shared" si="8"/>
        <v>20000</v>
      </c>
      <c r="I15" s="3016"/>
      <c r="J15" s="3016"/>
      <c r="K15" s="3016"/>
      <c r="L15" s="3016"/>
      <c r="M15" s="3016">
        <f>技术经济指标!H16</f>
        <v>20000</v>
      </c>
      <c r="N15" s="82"/>
      <c r="O15" s="82"/>
      <c r="P15" s="82"/>
      <c r="Q15" s="82"/>
      <c r="R15" s="82"/>
      <c r="S15" s="82"/>
      <c r="T15" s="82"/>
      <c r="U15" s="82"/>
      <c r="V15" s="82"/>
      <c r="W15" s="82"/>
      <c r="X15" s="82"/>
      <c r="Y15" s="82"/>
      <c r="Z15" s="82"/>
      <c r="AA15" s="82"/>
      <c r="AB15" s="82"/>
      <c r="AC15" s="26">
        <f t="shared" si="9"/>
        <v>40000</v>
      </c>
      <c r="AD15" s="3020"/>
      <c r="AE15" s="3020"/>
      <c r="AF15" s="3020"/>
      <c r="AG15" s="3020"/>
      <c r="AH15" s="3020"/>
      <c r="AI15" s="3020"/>
      <c r="AJ15" s="3020"/>
      <c r="AK15" s="3020"/>
      <c r="AL15" s="3020"/>
      <c r="AM15" s="3020"/>
      <c r="AN15" s="3020">
        <f>技术经济指标!H18+技术经济指标!H18</f>
        <v>40000</v>
      </c>
      <c r="AO15" s="3020"/>
      <c r="AP15" s="3020"/>
      <c r="AQ15" s="3020"/>
      <c r="AR15" s="3020"/>
      <c r="AS15" s="3020"/>
      <c r="AT15" s="3021"/>
      <c r="AU15" s="3022"/>
      <c r="AV15" s="17">
        <f t="shared" si="10"/>
        <v>0</v>
      </c>
      <c r="AW15" s="17">
        <f t="shared" si="10"/>
        <v>0</v>
      </c>
      <c r="AX15" s="17" t="str">
        <f t="shared" si="10"/>
        <v>地下车库</v>
      </c>
      <c r="AY15" s="994">
        <f t="shared" si="11"/>
        <v>18938.73</v>
      </c>
      <c r="AZ15" s="26">
        <f t="shared" si="12"/>
        <v>60000</v>
      </c>
      <c r="BA15" s="26">
        <f t="shared" si="13"/>
        <v>20000</v>
      </c>
      <c r="BB15" s="26">
        <f t="shared" si="14"/>
        <v>0</v>
      </c>
      <c r="BC15" s="26">
        <f t="shared" si="15"/>
        <v>0</v>
      </c>
      <c r="BD15" s="26">
        <f t="shared" si="16"/>
        <v>20000</v>
      </c>
      <c r="BE15" s="26">
        <f t="shared" si="17"/>
        <v>0</v>
      </c>
      <c r="BF15" s="26">
        <f t="shared" si="18"/>
        <v>0</v>
      </c>
      <c r="BG15" s="26">
        <f t="shared" si="19"/>
        <v>0</v>
      </c>
      <c r="BH15" s="26">
        <f t="shared" si="20"/>
        <v>0</v>
      </c>
      <c r="BI15" s="26">
        <f t="shared" si="21"/>
        <v>0</v>
      </c>
      <c r="BJ15" s="26">
        <f t="shared" si="22"/>
        <v>0</v>
      </c>
      <c r="BK15" s="26">
        <f t="shared" si="23"/>
        <v>0</v>
      </c>
      <c r="BL15" s="26">
        <f t="shared" si="24"/>
        <v>40000</v>
      </c>
      <c r="BM15" s="26">
        <f t="shared" si="25"/>
        <v>0</v>
      </c>
      <c r="BN15" s="26">
        <f t="shared" si="26"/>
        <v>0</v>
      </c>
      <c r="BO15" s="26">
        <f t="shared" si="27"/>
        <v>0</v>
      </c>
      <c r="BP15" s="26">
        <f t="shared" si="28"/>
        <v>0</v>
      </c>
      <c r="BQ15" s="26">
        <f t="shared" si="29"/>
        <v>0</v>
      </c>
      <c r="BR15" s="26">
        <f t="shared" si="30"/>
        <v>40000</v>
      </c>
      <c r="BS15" s="26">
        <f t="shared" si="31"/>
        <v>0</v>
      </c>
      <c r="BT15" s="35">
        <f t="shared" si="32"/>
        <v>0</v>
      </c>
    </row>
    <row r="16" spans="1:72" s="18" customFormat="1" ht="12.75">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202</v>
      </c>
      <c r="B1" s="1982"/>
      <c r="C1" s="1982"/>
      <c r="D1" s="1982"/>
      <c r="E1" s="1982"/>
      <c r="F1" s="1982"/>
      <c r="G1" s="1982"/>
      <c r="H1" s="1982"/>
      <c r="I1" s="1982"/>
      <c r="J1" s="1982"/>
      <c r="K1" s="1982"/>
      <c r="L1" s="1982"/>
    </row>
    <row r="2" spans="1:16" ht="15">
      <c r="A2" s="3285" t="s">
        <v>203</v>
      </c>
      <c r="B2" s="3285"/>
      <c r="C2" s="3285"/>
      <c r="D2" s="1973" t="s">
        <v>204</v>
      </c>
      <c r="E2" s="105" t="s">
        <v>205</v>
      </c>
      <c r="F2" s="1982"/>
      <c r="G2" s="1196"/>
      <c r="H2" s="1197"/>
      <c r="I2" s="1198" t="s">
        <v>857</v>
      </c>
      <c r="J2" s="1982"/>
      <c r="K2" s="1982"/>
      <c r="L2" s="1982"/>
    </row>
    <row r="3" spans="1:16" ht="15.75" thickBot="1">
      <c r="A3" s="3286" t="s">
        <v>206</v>
      </c>
      <c r="B3" s="3286"/>
      <c r="C3" s="3286"/>
      <c r="D3" s="106">
        <f>'数据-基础表'!AY6</f>
        <v>86802.49</v>
      </c>
      <c r="E3" s="106">
        <f>'数据-基础表'!AZ5</f>
        <v>275000</v>
      </c>
      <c r="F3" s="1982"/>
      <c r="G3" s="279" t="s">
        <v>858</v>
      </c>
      <c r="H3" s="274" t="s">
        <v>859</v>
      </c>
      <c r="I3" s="1974">
        <f>ROUND('数据-基础表'!B3/'数据-基础表'!A3,2)</f>
        <v>3.17</v>
      </c>
      <c r="J3" s="1982"/>
      <c r="K3" s="1982"/>
      <c r="L3" s="1982"/>
    </row>
    <row r="4" spans="1:16" ht="15">
      <c r="A4" s="3287"/>
      <c r="B4" s="3288"/>
      <c r="C4" s="3289"/>
      <c r="D4" s="107" t="s">
        <v>204</v>
      </c>
      <c r="E4" s="108" t="s">
        <v>205</v>
      </c>
      <c r="F4" s="1982"/>
      <c r="G4" s="1199"/>
      <c r="H4" s="274" t="s">
        <v>860</v>
      </c>
      <c r="I4" s="1974">
        <f>ROUND(SUMIF('数据-基础表'!I9:AS9,"地上",'数据-基础表'!I5:AS5)/'数据-基础表'!A3,2)</f>
        <v>2.48</v>
      </c>
      <c r="J4" s="1982"/>
      <c r="K4" s="1982"/>
      <c r="L4" s="1982"/>
    </row>
    <row r="5" spans="1:16">
      <c r="A5" s="109" t="s">
        <v>207</v>
      </c>
      <c r="B5" s="3290" t="s">
        <v>230</v>
      </c>
      <c r="C5" s="3290"/>
      <c r="D5" s="110">
        <f>ROUND($D$3*E5/$E$3,2)</f>
        <v>57005.56</v>
      </c>
      <c r="E5" s="111">
        <f>SUMIF('数据-基础表'!$11:$11,"住宅",'数据-基础表'!$5:$5)</f>
        <v>180600</v>
      </c>
      <c r="F5" s="1982"/>
      <c r="G5" s="279" t="s">
        <v>861</v>
      </c>
      <c r="H5" s="274" t="s">
        <v>859</v>
      </c>
      <c r="I5" s="1974">
        <f>ROUND(E31/D31,2)</f>
        <v>3.17</v>
      </c>
      <c r="J5" s="1982"/>
      <c r="K5" s="1982"/>
      <c r="L5" s="1982"/>
    </row>
    <row r="6" spans="1:16" ht="15" thickBot="1">
      <c r="A6" s="112"/>
      <c r="B6" s="3290" t="s">
        <v>208</v>
      </c>
      <c r="C6" s="3290"/>
      <c r="D6" s="110">
        <f>ROUND($D$3*E6/$E$3,2)</f>
        <v>29796.93</v>
      </c>
      <c r="E6" s="111">
        <f>E3-E5</f>
        <v>94400</v>
      </c>
      <c r="F6" s="1982"/>
      <c r="G6" s="1199"/>
      <c r="H6" s="274" t="s">
        <v>860</v>
      </c>
      <c r="I6" s="1974">
        <f>ROUND(F31/D31,2)</f>
        <v>2.48</v>
      </c>
      <c r="J6" s="1982"/>
      <c r="K6" s="1982"/>
      <c r="L6" s="1982"/>
    </row>
    <row r="7" spans="1:16" ht="15">
      <c r="A7" s="3282"/>
      <c r="B7" s="3283"/>
      <c r="C7" s="3284"/>
      <c r="D7" s="107" t="s">
        <v>204</v>
      </c>
      <c r="E7" s="113" t="s">
        <v>231</v>
      </c>
      <c r="F7" s="1982"/>
      <c r="G7" s="1154" t="s">
        <v>1646</v>
      </c>
      <c r="H7" s="1155"/>
      <c r="I7" s="1844">
        <f>I4</f>
        <v>2.48</v>
      </c>
      <c r="J7" s="1982"/>
      <c r="K7" s="1982"/>
      <c r="L7" s="1982"/>
    </row>
    <row r="8" spans="1:16">
      <c r="A8" s="109" t="s">
        <v>209</v>
      </c>
      <c r="B8" s="114" t="s">
        <v>210</v>
      </c>
      <c r="C8" s="110" t="s">
        <v>211</v>
      </c>
      <c r="D8" s="110">
        <f t="shared" ref="D8:D15" si="0">ROUND($D$3*E8/$E$3,2)</f>
        <v>60398.75</v>
      </c>
      <c r="E8" s="115">
        <f>SUMIF('数据-基础表'!BB10:BK10,"地上",'数据-基础表'!BB5:BK5)</f>
        <v>191350</v>
      </c>
      <c r="F8" s="1982"/>
      <c r="G8" s="1984"/>
      <c r="H8" s="1984"/>
      <c r="I8" s="1982"/>
      <c r="J8" s="1982"/>
      <c r="K8" s="1982"/>
      <c r="L8" s="1982"/>
    </row>
    <row r="9" spans="1:16">
      <c r="A9" s="116"/>
      <c r="B9" s="117"/>
      <c r="C9" s="110" t="s">
        <v>212</v>
      </c>
      <c r="D9" s="110">
        <f t="shared" si="0"/>
        <v>0</v>
      </c>
      <c r="E9" s="118">
        <v>0</v>
      </c>
      <c r="F9" s="1982"/>
      <c r="G9" s="1984"/>
      <c r="H9" s="1984"/>
      <c r="I9" s="1982"/>
      <c r="J9" s="1982"/>
      <c r="K9" s="1982"/>
      <c r="L9" s="1982"/>
    </row>
    <row r="10" spans="1:16">
      <c r="A10" s="116"/>
      <c r="B10" s="117"/>
      <c r="C10" s="110" t="s">
        <v>213</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9" t="s">
        <v>2328</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214</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29" t="s">
        <v>2335</v>
      </c>
      <c r="D13" s="110">
        <f t="shared" si="0"/>
        <v>6312.91</v>
      </c>
      <c r="E13" s="115">
        <f>SUMPRODUCT(('数据-基础表'!BB10:BK10="地下")*('数据-基础表'!BB11:BK11="车库")*('数据-基础表'!BB5:BK5))</f>
        <v>20000</v>
      </c>
      <c r="F13" s="1982"/>
      <c r="G13" s="1984"/>
      <c r="H13" s="1984"/>
      <c r="I13" s="1982"/>
      <c r="J13" s="1982"/>
      <c r="K13" s="1982"/>
      <c r="L13" s="1982"/>
    </row>
    <row r="14" spans="1:16">
      <c r="A14" s="116"/>
      <c r="B14" s="117"/>
      <c r="C14" s="110" t="s">
        <v>232</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233</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215</v>
      </c>
      <c r="D16" s="114">
        <f>SUM(D8:D15)</f>
        <v>66711.66</v>
      </c>
      <c r="E16" s="119">
        <f>SUM(E8:E15)</f>
        <v>211350</v>
      </c>
      <c r="F16" s="1982"/>
      <c r="G16" s="1984"/>
      <c r="H16" s="966" t="s">
        <v>219</v>
      </c>
      <c r="I16" s="967"/>
      <c r="J16" s="1982"/>
      <c r="K16" s="3276" t="s">
        <v>2567</v>
      </c>
      <c r="L16" s="3277"/>
      <c r="M16" s="3277"/>
      <c r="N16" s="3277"/>
      <c r="O16" s="3277"/>
      <c r="P16" s="3278"/>
    </row>
    <row r="17" spans="1:19" ht="15">
      <c r="A17" s="120" t="s">
        <v>216</v>
      </c>
      <c r="B17" s="121" t="s">
        <v>217</v>
      </c>
      <c r="C17" s="2296" t="s">
        <v>2315</v>
      </c>
      <c r="D17" s="107" t="s">
        <v>204</v>
      </c>
      <c r="E17" s="123" t="s">
        <v>205</v>
      </c>
      <c r="F17" s="124"/>
      <c r="G17" s="1364"/>
      <c r="H17" s="968" t="s">
        <v>218</v>
      </c>
      <c r="I17" s="969" t="s">
        <v>2314</v>
      </c>
      <c r="J17" s="1982"/>
      <c r="K17" s="3279" t="s">
        <v>2568</v>
      </c>
      <c r="L17" s="3280"/>
      <c r="M17" s="3281"/>
      <c r="N17" s="3279" t="s">
        <v>2569</v>
      </c>
      <c r="O17" s="3280"/>
      <c r="P17" s="3281"/>
      <c r="R17" s="2297" t="s">
        <v>2313</v>
      </c>
      <c r="S17" s="143"/>
    </row>
    <row r="18" spans="1:19" ht="15">
      <c r="A18" s="116"/>
      <c r="B18" s="127"/>
      <c r="C18" s="128"/>
      <c r="D18" s="2640"/>
      <c r="E18" s="129" t="s">
        <v>220</v>
      </c>
      <c r="F18" s="130" t="s">
        <v>221</v>
      </c>
      <c r="G18" s="1365" t="s">
        <v>222</v>
      </c>
      <c r="H18" s="970" t="s">
        <v>223</v>
      </c>
      <c r="I18" s="971" t="s">
        <v>224</v>
      </c>
      <c r="J18" s="1982"/>
      <c r="K18" s="2603" t="s">
        <v>2570</v>
      </c>
      <c r="L18" s="2604" t="s">
        <v>2571</v>
      </c>
      <c r="M18" s="2605" t="s">
        <v>2572</v>
      </c>
      <c r="N18" s="2603" t="s">
        <v>2570</v>
      </c>
      <c r="O18" s="2604" t="s">
        <v>2571</v>
      </c>
      <c r="P18" s="2605" t="s">
        <v>2572</v>
      </c>
      <c r="R18" s="2298" t="s">
        <v>2311</v>
      </c>
      <c r="S18" s="2298" t="s">
        <v>2312</v>
      </c>
    </row>
    <row r="19" spans="1:19">
      <c r="A19" s="132"/>
      <c r="B19" s="114" t="s">
        <v>225</v>
      </c>
      <c r="C19" s="3023" t="s">
        <v>2991</v>
      </c>
      <c r="D19" s="110">
        <f t="shared" ref="D19:D26" si="1">ROUND($D$3*E19/$E$3,2)</f>
        <v>57005.56</v>
      </c>
      <c r="E19" s="133">
        <f t="shared" ref="E19:E26" si="2">SUM(F19:G19)</f>
        <v>180600</v>
      </c>
      <c r="F19" s="134">
        <f>'数据-基础表'!I13</f>
        <v>180600</v>
      </c>
      <c r="G19" s="1366"/>
      <c r="H19" s="972">
        <f>ROUND($D$3*I19/$E$3,2)</f>
        <v>18253.86</v>
      </c>
      <c r="I19" s="115">
        <f>IF($I$17="自定义",P19,M19)</f>
        <v>57830.27</v>
      </c>
      <c r="J19" s="1982"/>
      <c r="K19" s="2606">
        <f t="shared" ref="K19:K26" si="3">ROUND(E$28*E19/E$27,2)</f>
        <v>34180.269999999997</v>
      </c>
      <c r="L19" s="274">
        <f t="shared" ref="L19:L26" si="4">ROUND(IF(COUNTIF(C19,"*住宅*")&gt;0,E$29*E19/E$32,0),2)</f>
        <v>23650</v>
      </c>
      <c r="M19" s="2607">
        <f>K19+L19</f>
        <v>57830.27</v>
      </c>
      <c r="N19" s="2608"/>
      <c r="O19" s="2609"/>
      <c r="P19" s="2610">
        <f>N19+O19</f>
        <v>0</v>
      </c>
      <c r="R19" s="274">
        <f t="shared" ref="R19:S26" si="5">D19+H19</f>
        <v>75259.42</v>
      </c>
      <c r="S19" s="2299">
        <f t="shared" si="5"/>
        <v>238430.27</v>
      </c>
    </row>
    <row r="20" spans="1:19">
      <c r="A20" s="137"/>
      <c r="B20" s="114" t="s">
        <v>226</v>
      </c>
      <c r="C20" s="3023" t="str">
        <f>'数据-基础表'!C14</f>
        <v>商业</v>
      </c>
      <c r="D20" s="110">
        <f t="shared" si="1"/>
        <v>3393.19</v>
      </c>
      <c r="E20" s="133">
        <f t="shared" si="2"/>
        <v>10750</v>
      </c>
      <c r="F20" s="134">
        <f>'数据-基础表'!K14</f>
        <v>10750</v>
      </c>
      <c r="G20" s="1366"/>
      <c r="H20" s="972">
        <f t="shared" ref="H20:H26" si="6">ROUND($D$3*I20/$E$3,2)</f>
        <v>642.19000000000005</v>
      </c>
      <c r="I20" s="115">
        <f t="shared" ref="I20:I26" si="7">IF($I$17="自定义",P20,M20)</f>
        <v>2034.54</v>
      </c>
      <c r="J20" s="1982"/>
      <c r="K20" s="2606">
        <f t="shared" si="3"/>
        <v>2034.54</v>
      </c>
      <c r="L20" s="274">
        <f t="shared" si="4"/>
        <v>0</v>
      </c>
      <c r="M20" s="2607">
        <f t="shared" ref="M20:M26" si="8">K20+L20</f>
        <v>2034.54</v>
      </c>
      <c r="N20" s="2608"/>
      <c r="O20" s="2609"/>
      <c r="P20" s="2610">
        <f t="shared" ref="P20:P26" si="9">N20+O20</f>
        <v>0</v>
      </c>
      <c r="R20" s="274">
        <f t="shared" si="5"/>
        <v>4035.38</v>
      </c>
      <c r="S20" s="2299">
        <f t="shared" si="5"/>
        <v>12784.54</v>
      </c>
    </row>
    <row r="21" spans="1:19">
      <c r="A21" s="137"/>
      <c r="B21" s="114" t="s">
        <v>226</v>
      </c>
      <c r="C21" s="3023" t="str">
        <f>'数据-基础表'!C15</f>
        <v>地下车库</v>
      </c>
      <c r="D21" s="110">
        <f t="shared" si="1"/>
        <v>6312.91</v>
      </c>
      <c r="E21" s="133">
        <f t="shared" si="2"/>
        <v>20000</v>
      </c>
      <c r="F21" s="134"/>
      <c r="G21" s="1366">
        <f>'数据-基础表'!M15</f>
        <v>20000</v>
      </c>
      <c r="H21" s="972">
        <f t="shared" si="6"/>
        <v>1194.78</v>
      </c>
      <c r="I21" s="115">
        <f t="shared" si="7"/>
        <v>3785.19</v>
      </c>
      <c r="J21" s="1982"/>
      <c r="K21" s="2606">
        <f t="shared" si="3"/>
        <v>3785.19</v>
      </c>
      <c r="L21" s="274">
        <f t="shared" si="4"/>
        <v>0</v>
      </c>
      <c r="M21" s="2607">
        <f t="shared" si="8"/>
        <v>3785.19</v>
      </c>
      <c r="N21" s="2608"/>
      <c r="O21" s="2609"/>
      <c r="P21" s="2610">
        <f t="shared" si="9"/>
        <v>0</v>
      </c>
      <c r="R21" s="274">
        <f t="shared" si="5"/>
        <v>7507.69</v>
      </c>
      <c r="S21" s="2299">
        <f t="shared" si="5"/>
        <v>23785.19</v>
      </c>
    </row>
    <row r="22" spans="1:19">
      <c r="A22" s="137"/>
      <c r="B22" s="114" t="s">
        <v>226</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c r="A23" s="137"/>
      <c r="B23" s="114" t="s">
        <v>226</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c r="A24" s="137"/>
      <c r="B24" s="114" t="s">
        <v>226</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c r="A25" s="137"/>
      <c r="B25" s="114" t="s">
        <v>226</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c r="A26" s="137"/>
      <c r="B26" s="114" t="s">
        <v>226</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75" thickBot="1">
      <c r="A27" s="137"/>
      <c r="B27" s="110"/>
      <c r="C27" s="126" t="s">
        <v>215</v>
      </c>
      <c r="D27" s="133">
        <f>SUM(D19:D26)</f>
        <v>66711.66</v>
      </c>
      <c r="E27" s="142">
        <f>IF(SUM(E19:E26)='数据-基础表'!BA5,SUM(E19:E26),IF(F27="地上面积有误","面积有误","地下面积有误"))</f>
        <v>211350</v>
      </c>
      <c r="F27" s="133">
        <f>IF(SUM(F19:F26)=E8,SUM(F19:F26),"地上面积有误")</f>
        <v>191350</v>
      </c>
      <c r="G27" s="111">
        <f>SUM(G19:G26)</f>
        <v>20000</v>
      </c>
      <c r="H27" s="973">
        <f>SUM(H19:H26)</f>
        <v>20090.829999999998</v>
      </c>
      <c r="I27" s="974">
        <f>SUM(I19:I26)</f>
        <v>63650</v>
      </c>
      <c r="J27" s="1982"/>
      <c r="K27" s="2615">
        <f>SUM(K19:K26)</f>
        <v>40000</v>
      </c>
      <c r="L27" s="2616">
        <f>SUM(L19:L26)</f>
        <v>23650</v>
      </c>
      <c r="M27" s="2617">
        <f>SUM(M19:M26)</f>
        <v>63650</v>
      </c>
      <c r="N27" s="2615">
        <f t="shared" ref="N27:O27" si="10">SUM(N19:N26)</f>
        <v>0</v>
      </c>
      <c r="O27" s="2616">
        <f t="shared" si="10"/>
        <v>0</v>
      </c>
      <c r="P27" s="2618">
        <f>SUM(P19:P26)</f>
        <v>0</v>
      </c>
      <c r="R27" s="2303">
        <f>IF(SUM(R19:R26)=$D$3,SUM(R19:R26),SUM(R19:R26)&amp;"误差"&amp;ROUND(SUM(R19:R26)-$D$3,2))</f>
        <v>86802.49</v>
      </c>
      <c r="S27" s="274">
        <f>IF(SUM(S19:S26)=$E$3,SUM(S19:S26),SUM(S19:S26)&amp;"误差"&amp;ROUND(SUM(S19:S26)-E3,2))</f>
        <v>275000</v>
      </c>
    </row>
    <row r="28" spans="1:19">
      <c r="A28" s="137"/>
      <c r="B28" s="114" t="s">
        <v>227</v>
      </c>
      <c r="C28" s="135" t="s">
        <v>228</v>
      </c>
      <c r="D28" s="110">
        <f>ROUND($D$3*E28/$E$3,2)</f>
        <v>12625.82</v>
      </c>
      <c r="E28" s="133">
        <f>SUM(F28:G28)</f>
        <v>40000</v>
      </c>
      <c r="F28" s="143">
        <f>'数据-基础表'!BQ5+'数据-基础表'!BS5</f>
        <v>0</v>
      </c>
      <c r="G28" s="144">
        <f>'数据-基础表'!BR5+'数据-基础表'!BT5</f>
        <v>40000</v>
      </c>
      <c r="H28" s="1982"/>
      <c r="I28" s="1982"/>
      <c r="J28" s="1982"/>
      <c r="K28" s="1982"/>
      <c r="L28" s="1982"/>
    </row>
    <row r="29" spans="1:19">
      <c r="A29" s="137"/>
      <c r="B29" s="114" t="s">
        <v>227</v>
      </c>
      <c r="C29" s="2311" t="s">
        <v>2322</v>
      </c>
      <c r="D29" s="110">
        <f>ROUND($D$3*E29/$E$3,2)</f>
        <v>7465.01</v>
      </c>
      <c r="E29" s="133">
        <f>SUM(F29:G29)</f>
        <v>23650.000000000004</v>
      </c>
      <c r="F29" s="143">
        <f>'数据-基础表'!BM5+'数据-基础表'!BO5</f>
        <v>23650.000000000004</v>
      </c>
      <c r="G29" s="145">
        <f>'数据-基础表'!BN5+'数据-基础表'!BP5</f>
        <v>0</v>
      </c>
      <c r="H29" s="1982"/>
      <c r="I29" s="1982"/>
      <c r="J29" s="1982"/>
      <c r="K29" s="1982"/>
      <c r="L29" s="1982"/>
    </row>
    <row r="30" spans="1:19">
      <c r="A30" s="137"/>
      <c r="B30" s="110"/>
      <c r="C30" s="146" t="s">
        <v>215</v>
      </c>
      <c r="D30" s="133">
        <f>SUM(D28:D29)</f>
        <v>20090.830000000002</v>
      </c>
      <c r="E30" s="133">
        <f>SUM(E28:E29)</f>
        <v>63650</v>
      </c>
      <c r="F30" s="133">
        <f>SUM(F28:F29)</f>
        <v>23650.000000000004</v>
      </c>
      <c r="G30" s="111">
        <f>SUM(G28:G29)</f>
        <v>40000</v>
      </c>
      <c r="H30" s="1982"/>
      <c r="I30" s="1982"/>
      <c r="J30" s="1982"/>
      <c r="K30" s="1982"/>
      <c r="L30" s="1982"/>
    </row>
    <row r="31" spans="1:19" ht="32.25" customHeight="1" thickBot="1">
      <c r="A31" s="1368"/>
      <c r="B31" s="1369" t="s">
        <v>229</v>
      </c>
      <c r="C31" s="2328" t="s">
        <v>2324</v>
      </c>
      <c r="D31" s="1370">
        <f>D27+D30</f>
        <v>86802.49</v>
      </c>
      <c r="E31" s="1370">
        <f>E27+E30</f>
        <v>275000</v>
      </c>
      <c r="F31" s="1371">
        <f>F27+F30</f>
        <v>215000</v>
      </c>
      <c r="G31" s="1372">
        <f>G27+G30</f>
        <v>60000</v>
      </c>
      <c r="H31" s="1982"/>
      <c r="I31" s="1982"/>
      <c r="J31" s="1982"/>
      <c r="K31" s="1982"/>
      <c r="L31" s="1982"/>
    </row>
    <row r="32" spans="1:19">
      <c r="A32" s="1982"/>
      <c r="B32" s="2361" t="s">
        <v>2323</v>
      </c>
      <c r="C32" s="2645"/>
      <c r="D32" s="1199"/>
      <c r="E32" s="1199">
        <f>SUMIF(C19:C26,"*住宅*",E19:E26)</f>
        <v>180600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3" width="7.25" style="1201" customWidth="1"/>
    <col min="34" max="34" width="9.37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7"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8" t="s">
        <v>235</v>
      </c>
      <c r="B2" s="2336">
        <f>项目基本情况!D3</f>
        <v>43314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864</v>
      </c>
      <c r="B4" s="151"/>
      <c r="C4" s="152"/>
      <c r="D4" s="1206"/>
      <c r="E4" s="1207" t="s">
        <v>865</v>
      </c>
      <c r="F4" s="152"/>
      <c r="G4" s="152"/>
      <c r="H4" s="152"/>
      <c r="I4" s="152"/>
      <c r="J4" s="153"/>
      <c r="K4" s="1208"/>
      <c r="L4" s="1209"/>
      <c r="M4" s="152"/>
      <c r="N4" s="1207" t="s">
        <v>866</v>
      </c>
      <c r="O4" s="152"/>
      <c r="P4" s="152"/>
      <c r="Q4" s="152"/>
      <c r="R4" s="152"/>
      <c r="S4" s="153"/>
      <c r="T4" s="975"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0.5">
      <c r="A5" s="2302" t="s">
        <v>2326</v>
      </c>
      <c r="B5" s="155" t="s">
        <v>236</v>
      </c>
      <c r="C5" s="156" t="s">
        <v>237</v>
      </c>
      <c r="D5" s="157" t="s">
        <v>238</v>
      </c>
      <c r="E5" s="158" t="s">
        <v>239</v>
      </c>
      <c r="F5" s="159" t="s">
        <v>240</v>
      </c>
      <c r="G5" s="158" t="s">
        <v>241</v>
      </c>
      <c r="H5" s="158" t="s">
        <v>862</v>
      </c>
      <c r="I5" s="158" t="s">
        <v>863</v>
      </c>
      <c r="J5" s="160" t="s">
        <v>242</v>
      </c>
      <c r="K5" s="161" t="s">
        <v>243</v>
      </c>
      <c r="L5" s="162" t="s">
        <v>244</v>
      </c>
      <c r="M5" s="163" t="s">
        <v>245</v>
      </c>
      <c r="N5" s="1217" t="s">
        <v>2829</v>
      </c>
      <c r="O5" s="162" t="s">
        <v>246</v>
      </c>
      <c r="P5" s="164" t="s">
        <v>247</v>
      </c>
      <c r="Q5" s="165" t="s">
        <v>248</v>
      </c>
      <c r="R5" s="166" t="s">
        <v>249</v>
      </c>
      <c r="S5" s="2619" t="s">
        <v>2573</v>
      </c>
      <c r="T5" s="167" t="s">
        <v>250</v>
      </c>
      <c r="U5" s="168" t="s">
        <v>251</v>
      </c>
      <c r="V5" s="158" t="s">
        <v>252</v>
      </c>
      <c r="W5" s="158" t="s">
        <v>253</v>
      </c>
      <c r="X5" s="1816"/>
      <c r="Y5" s="169" t="s">
        <v>254</v>
      </c>
      <c r="Z5" s="170" t="s">
        <v>255</v>
      </c>
      <c r="AA5" s="158" t="s">
        <v>252</v>
      </c>
      <c r="AB5" s="158" t="s">
        <v>253</v>
      </c>
      <c r="AC5" s="1817"/>
      <c r="AD5" s="171" t="s">
        <v>254</v>
      </c>
      <c r="AE5" s="1" t="s">
        <v>870</v>
      </c>
      <c r="AF5" s="158" t="s">
        <v>256</v>
      </c>
      <c r="AG5" s="169" t="s">
        <v>257</v>
      </c>
      <c r="AH5" s="1817" t="s">
        <v>2325</v>
      </c>
      <c r="AI5" s="170" t="s">
        <v>2294</v>
      </c>
      <c r="AJ5" s="170" t="s">
        <v>258</v>
      </c>
      <c r="AK5" s="158" t="s">
        <v>259</v>
      </c>
      <c r="AL5" s="158" t="s">
        <v>260</v>
      </c>
      <c r="AM5" s="171"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2" t="s">
        <v>923</v>
      </c>
      <c r="D6" s="2306">
        <f>SUMIF(项目基本情况!D$15:I$15,C6,项目基本情况!D$18:I$18)</f>
        <v>70</v>
      </c>
      <c r="E6" s="2307">
        <f>IF(B6="","",SUMIF(项目基本情况!D$15:I$15,C6,项目基本情况!D$17:I$17))</f>
        <v>65246</v>
      </c>
      <c r="F6" s="173">
        <f>SUMIF(项目基本情况!D$15:I$15,C6,项目基本情况!D$19:I$19)</f>
        <v>60.08</v>
      </c>
      <c r="G6" s="174">
        <f>IF(ISERROR(ROUND(POWER(1+H6,D6-F6)*(POWER(1+H6,F6)-1)/(POWER(1+H6,D6)-1),3)),0,ROUND(POWER(1+H6,D6-F6)*(POWER(1+H6,F6)-1)/(POWER(1+H6,D6)-1),3))</f>
        <v>0.96699999999999997</v>
      </c>
      <c r="H6" s="3024">
        <v>0.04</v>
      </c>
      <c r="I6" s="3024">
        <v>4.4999999999999998E-2</v>
      </c>
      <c r="J6" s="3176">
        <v>8.5000000000000006E-2</v>
      </c>
      <c r="K6" s="178">
        <f>SUMIF('数据-汇总表'!C$19:C$33,'数据-取费表'!A6,'数据-汇总表'!E$19:E$33)</f>
        <v>180600</v>
      </c>
      <c r="L6" s="3025">
        <v>3000</v>
      </c>
      <c r="M6" s="176">
        <f t="shared" ref="M6:M14" si="0">ROUND(K6*L6/10000,0)</f>
        <v>54180</v>
      </c>
      <c r="N6" s="3026">
        <v>0</v>
      </c>
      <c r="O6" s="176">
        <f>IF($N$5="成新度","——",ROUND(M6*N6,0))</f>
        <v>0</v>
      </c>
      <c r="P6" s="177">
        <f>IF($N$5="成新度","——",M6-O6)</f>
        <v>54180</v>
      </c>
      <c r="Q6" s="3027">
        <v>0.03</v>
      </c>
      <c r="R6" s="178">
        <f>SUMIF('数据-汇总表'!C$19:C$33,A6,'数据-汇总表'!R$19:R$33)</f>
        <v>75259.42</v>
      </c>
      <c r="S6" s="131">
        <f>IF('数据-汇总表'!$I$17="按面积比例",SUMIF('数据-汇总表'!C$19:C$33,A6,'数据-汇总表'!K$19:K$33),SUMIF('数据-汇总表'!C$19:C$33,A6,'数据-汇总表'!N$19:N$33))</f>
        <v>34180.269999999997</v>
      </c>
      <c r="T6" s="2232">
        <f>IF($T$4="按面积比例",IF(ISERROR(ROUND($M$14*S6/S$16,0)),"0",ROUND($M$14*S6/S$16,0)),"需自行计算录入")</f>
        <v>8545</v>
      </c>
      <c r="U6" s="179"/>
      <c r="V6" s="180"/>
      <c r="W6" s="180"/>
      <c r="X6" s="2319"/>
      <c r="Y6" s="181"/>
      <c r="Z6" s="182"/>
      <c r="AA6" s="175"/>
      <c r="AB6" s="175"/>
      <c r="AC6" s="2322"/>
      <c r="AD6" s="183"/>
      <c r="AE6" s="970">
        <f ca="1">IF(AN6="",0,SUMIF(INDIRECT("'"&amp;AN6&amp;"'"&amp;"!E:E"),$AE$5,INDIRECT("'"&amp;AN6&amp;"'"&amp;"!F:F")))</f>
        <v>0</v>
      </c>
      <c r="AF6" s="140"/>
      <c r="AG6" s="1211">
        <f>IF(AF6="",0,AE6-AF6)</f>
        <v>0</v>
      </c>
      <c r="AH6" s="140"/>
      <c r="AI6" s="186"/>
      <c r="AJ6" s="187"/>
      <c r="AK6" s="188"/>
      <c r="AL6" s="189"/>
      <c r="AM6" s="3037"/>
      <c r="AN6" s="2390"/>
      <c r="AO6" s="1998"/>
      <c r="AP6" s="1202">
        <f>ROUND(1-1/(1+H6)^F6,3)</f>
        <v>0.90500000000000003</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商业</v>
      </c>
      <c r="B7" s="2335" t="str">
        <f t="shared" ref="B7:B13" si="1">IF(A7=0,"","经营性")</f>
        <v>经营性</v>
      </c>
      <c r="C7" s="172" t="s">
        <v>3189</v>
      </c>
      <c r="D7" s="2306">
        <f>SUMIF(项目基本情况!D$15:I$15,C7,项目基本情况!D$18:I$18)</f>
        <v>40</v>
      </c>
      <c r="E7" s="2307">
        <f>IF(B7="","",SUMIF(项目基本情况!D$15:I$15,C7,项目基本情况!D$17:I$17))</f>
        <v>54289</v>
      </c>
      <c r="F7" s="173">
        <f>SUMIF(项目基本情况!D$15:I$15,C7,项目基本情况!D$19:I$19)</f>
        <v>30.06</v>
      </c>
      <c r="G7" s="174">
        <f t="shared" ref="G7:G11" si="2">IF(ISERROR(ROUND(POWER(1+H7,D7-F7)*(POWER(1+H7,F7)-1)/(POWER(1+H7,D7)-1),3)),0,ROUND(POWER(1+H7,D7-F7)*(POWER(1+H7,F7)-1)/(POWER(1+H7,D7)-1),3))</f>
        <v>0.90600000000000003</v>
      </c>
      <c r="H7" s="3024">
        <v>5.5E-2</v>
      </c>
      <c r="I7" s="3024">
        <v>0.06</v>
      </c>
      <c r="J7" s="3176">
        <v>8.5000000000000006E-2</v>
      </c>
      <c r="K7" s="178">
        <f>SUMIF('数据-汇总表'!C$19:C$33,'数据-取费表'!A7,'数据-汇总表'!E$19:E$33)</f>
        <v>10750</v>
      </c>
      <c r="L7" s="3025">
        <v>2800</v>
      </c>
      <c r="M7" s="176">
        <f t="shared" si="0"/>
        <v>3010</v>
      </c>
      <c r="N7" s="3026">
        <v>0</v>
      </c>
      <c r="O7" s="176">
        <f t="shared" ref="O7:O14" si="3">IF($N$5="成新度","——",ROUND(M7*N7,0))</f>
        <v>0</v>
      </c>
      <c r="P7" s="177">
        <f t="shared" ref="P7:P14" si="4">IF($N$5="成新度","——",M7-O7)</f>
        <v>3010</v>
      </c>
      <c r="Q7" s="3027">
        <v>0.03</v>
      </c>
      <c r="R7" s="178">
        <f>SUMIF('数据-汇总表'!C$19:C$33,A7,'数据-汇总表'!R$19:R$33)</f>
        <v>4035.38</v>
      </c>
      <c r="S7" s="131">
        <f>IF('数据-汇总表'!$I$17="按面积比例",SUMIF('数据-汇总表'!C$19:C$33,A7,'数据-汇总表'!K$19:K$33),SUMIF('数据-汇总表'!C$19:C$33,A7,'数据-汇总表'!N$19:N$33))</f>
        <v>2034.54</v>
      </c>
      <c r="T7" s="2232">
        <f t="shared" ref="T7:T13" si="5">IF($T$4="按面积比例",IF(ISERROR(ROUND($M$14*S7/S$16,0)),"0",ROUND($M$14*S7/S$16,0)),"需自行计算录入")</f>
        <v>509</v>
      </c>
      <c r="U7" s="179">
        <v>3.5</v>
      </c>
      <c r="V7" s="180">
        <v>0.03</v>
      </c>
      <c r="W7" s="180">
        <v>0.1</v>
      </c>
      <c r="X7" s="2319"/>
      <c r="Y7" s="181">
        <v>1</v>
      </c>
      <c r="Z7" s="182"/>
      <c r="AA7" s="175"/>
      <c r="AB7" s="175"/>
      <c r="AC7" s="2322"/>
      <c r="AD7" s="183"/>
      <c r="AE7" s="970">
        <f t="shared" ref="AE7:AE13" ca="1" si="6">IF(AN7="",0,SUMIF(INDIRECT("'"&amp;AN7&amp;"'"&amp;"!E:E"),$AE$5,INDIRECT("'"&amp;AN7&amp;"'"&amp;"!F:F")))</f>
        <v>30.06</v>
      </c>
      <c r="AF7" s="140"/>
      <c r="AG7" s="1211">
        <f t="shared" ref="AG7:AG13" si="7">IF(AF7="",0,AE7-AF7)</f>
        <v>0</v>
      </c>
      <c r="AH7" s="3201">
        <f>K7</f>
        <v>10750</v>
      </c>
      <c r="AI7" s="186">
        <v>365</v>
      </c>
      <c r="AJ7" s="187"/>
      <c r="AK7" s="188">
        <v>0.01</v>
      </c>
      <c r="AL7" s="189">
        <v>1.5E-3</v>
      </c>
      <c r="AM7" s="2388">
        <v>0.01</v>
      </c>
      <c r="AN7" s="2390" t="s">
        <v>3227</v>
      </c>
      <c r="AO7" s="1998"/>
      <c r="AP7" s="1202">
        <f t="shared" ref="AP7:AP13" si="8">ROUND(1-1/(1+H7)^F7,3)</f>
        <v>0.8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地下车库</v>
      </c>
      <c r="B8" s="2335" t="str">
        <f t="shared" si="1"/>
        <v>经营性</v>
      </c>
      <c r="C8" s="172" t="s">
        <v>3194</v>
      </c>
      <c r="D8" s="2306">
        <f>SUMIF(项目基本情况!D$15:I$15,C8,项目基本情况!D$18:I$18)</f>
        <v>50</v>
      </c>
      <c r="E8" s="2307">
        <f>IF(B8="","",SUMIF(项目基本情况!D$15:I$15,C8,项目基本情况!D$17:I$17))</f>
        <v>57941</v>
      </c>
      <c r="F8" s="173">
        <f>SUMIF(项目基本情况!D$15:I$15,C8,项目基本情况!D$19:I$19)</f>
        <v>40.07</v>
      </c>
      <c r="G8" s="174">
        <f t="shared" si="2"/>
        <v>0.93200000000000005</v>
      </c>
      <c r="H8" s="3024">
        <v>4.4999999999999998E-2</v>
      </c>
      <c r="I8" s="3024">
        <v>0.05</v>
      </c>
      <c r="J8" s="3176">
        <v>8.5000000000000006E-2</v>
      </c>
      <c r="K8" s="178">
        <f>SUMIF('数据-汇总表'!C$19:C$33,'数据-取费表'!A8,'数据-汇总表'!E$19:E$33)</f>
        <v>20000</v>
      </c>
      <c r="L8" s="3025">
        <v>2500</v>
      </c>
      <c r="M8" s="176">
        <f>ROUND(K8*L8/10000,0)</f>
        <v>5000</v>
      </c>
      <c r="N8" s="3026">
        <v>0</v>
      </c>
      <c r="O8" s="176">
        <f t="shared" si="3"/>
        <v>0</v>
      </c>
      <c r="P8" s="177">
        <f t="shared" si="4"/>
        <v>5000</v>
      </c>
      <c r="Q8" s="3027">
        <v>0.05</v>
      </c>
      <c r="R8" s="178">
        <f>SUMIF('数据-汇总表'!C$19:C$33,A8,'数据-汇总表'!R$19:R$33)</f>
        <v>7507.69</v>
      </c>
      <c r="S8" s="131">
        <f>IF('数据-汇总表'!$I$17="按面积比例",SUMIF('数据-汇总表'!C$19:C$33,A8,'数据-汇总表'!K$19:K$33),SUMIF('数据-汇总表'!C$19:C$33,A8,'数据-汇总表'!N$19:N$33))</f>
        <v>3785.19</v>
      </c>
      <c r="T8" s="2232">
        <f t="shared" si="5"/>
        <v>946</v>
      </c>
      <c r="U8" s="179"/>
      <c r="V8" s="180"/>
      <c r="W8" s="180"/>
      <c r="X8" s="2319"/>
      <c r="Y8" s="181"/>
      <c r="Z8" s="182"/>
      <c r="AA8" s="175"/>
      <c r="AB8" s="175"/>
      <c r="AC8" s="2322"/>
      <c r="AD8" s="183"/>
      <c r="AE8" s="970">
        <f t="shared" ca="1" si="6"/>
        <v>0</v>
      </c>
      <c r="AF8" s="140"/>
      <c r="AG8" s="1211">
        <f t="shared" si="7"/>
        <v>0</v>
      </c>
      <c r="AH8" s="3202" t="str">
        <f>技术经济指标!D20</f>
        <v>666</v>
      </c>
      <c r="AI8" s="186">
        <v>12</v>
      </c>
      <c r="AJ8" s="187"/>
      <c r="AK8" s="188"/>
      <c r="AL8" s="189"/>
      <c r="AM8" s="2388"/>
      <c r="AN8" s="2390"/>
      <c r="AO8" s="1998"/>
      <c r="AP8" s="1202">
        <f t="shared" si="8"/>
        <v>0.82899999999999996</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2316</v>
      </c>
      <c r="B14" s="2304" t="s">
        <v>1680</v>
      </c>
      <c r="C14" s="2305" t="s">
        <v>2316</v>
      </c>
      <c r="D14" s="2306"/>
      <c r="E14" s="2307"/>
      <c r="F14" s="173"/>
      <c r="G14" s="174"/>
      <c r="H14" s="2308"/>
      <c r="I14" s="2308"/>
      <c r="J14" s="2308"/>
      <c r="K14" s="178">
        <f>SUMIF('数据-汇总表'!C$19:C$33,'数据-取费表'!A14,'数据-汇总表'!E$19:E$33)</f>
        <v>40000</v>
      </c>
      <c r="L14" s="192">
        <f>L8</f>
        <v>2500</v>
      </c>
      <c r="M14" s="176">
        <f t="shared" si="0"/>
        <v>10000</v>
      </c>
      <c r="N14" s="193">
        <v>0</v>
      </c>
      <c r="O14" s="176">
        <f t="shared" si="3"/>
        <v>0</v>
      </c>
      <c r="P14" s="177">
        <f t="shared" si="4"/>
        <v>10000</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2318</v>
      </c>
      <c r="B15" s="2304" t="s">
        <v>1680</v>
      </c>
      <c r="C15" s="2305" t="s">
        <v>2317</v>
      </c>
      <c r="D15" s="2306"/>
      <c r="E15" s="2307"/>
      <c r="F15" s="173"/>
      <c r="G15" s="174"/>
      <c r="H15" s="2308"/>
      <c r="I15" s="2308"/>
      <c r="J15" s="2308"/>
      <c r="K15" s="178">
        <f>SUMIF('数据-汇总表'!C$19:C$33,'数据-取费表'!A15,'数据-汇总表'!E$19:E$33)</f>
        <v>23650.000000000004</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7" t="s">
        <v>262</v>
      </c>
      <c r="B16" s="198"/>
      <c r="C16" s="199"/>
      <c r="D16" s="200"/>
      <c r="E16" s="198"/>
      <c r="F16" s="198"/>
      <c r="G16" s="201">
        <f>ROUND(SUMPRODUCT(G6:G13,K6:K13)/SUMPRODUCT((G6:G13&gt;0)*(K6:K13)),3)</f>
        <v>0.96099999999999997</v>
      </c>
      <c r="H16" s="202">
        <f>ROUND(SUMPRODUCT(H6:H13,K6:K13)/SUMPRODUCT((H6:H13&gt;0)*(K6:K13)),3)</f>
        <v>4.1000000000000002E-2</v>
      </c>
      <c r="I16" s="203"/>
      <c r="J16" s="203"/>
      <c r="K16" s="204">
        <f>SUM(K6:K15)</f>
        <v>275000</v>
      </c>
      <c r="L16" s="205">
        <f>ROUND(M16*10000/SUM(K6:K14),0)</f>
        <v>2872</v>
      </c>
      <c r="M16" s="205">
        <f>SUM(M6:M14)</f>
        <v>72190</v>
      </c>
      <c r="N16" s="206">
        <f>ROUND(SUMPRODUCT(M6:M14,N6:N14)/M16,3)</f>
        <v>0</v>
      </c>
      <c r="O16" s="205">
        <f>SUM(O6:O14)</f>
        <v>0</v>
      </c>
      <c r="P16" s="205">
        <f>SUM(P6:P14)</f>
        <v>72190</v>
      </c>
      <c r="Q16" s="207">
        <f>ROUND(SUMPRODUCT(Q6:Q13,K6:K13)/SUMPRODUCT((Q6:Q13&gt;0)*(K6:K13)),2)</f>
        <v>0.03</v>
      </c>
      <c r="R16" s="2309">
        <f>SUM(R6:R13)</f>
        <v>86802.49</v>
      </c>
      <c r="S16" s="208">
        <f>SUM(S6:S13)</f>
        <v>40000</v>
      </c>
      <c r="T16" s="209">
        <f>IF(SUMIF(T6:T13,"&lt;9E307")=M14,SUMIF(T6:T13,"&lt;9E307"),"有误，请检查")</f>
        <v>10000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0.89200000000000002</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219">
        <v>2</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5" t="s">
        <v>2339</v>
      </c>
      <c r="B27" s="226">
        <v>140</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2340</v>
      </c>
      <c r="B28" s="228">
        <v>170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2338</v>
      </c>
      <c r="B29" s="231"/>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274</v>
      </c>
      <c r="B31" s="229">
        <f>B30-B32</f>
        <v>110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275</v>
      </c>
      <c r="B32" s="1375">
        <v>90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5" t="s">
        <v>278</v>
      </c>
      <c r="B33" s="1376">
        <v>0.03</v>
      </c>
      <c r="C33" s="2363"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0.05</v>
      </c>
      <c r="C34" s="2363" t="s">
        <v>2893</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f>B30</f>
        <v>200</v>
      </c>
      <c r="C35" s="2363"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0.02</v>
      </c>
      <c r="C37" s="2363"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0.02</v>
      </c>
      <c r="C38" s="2363"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9">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0">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0.05</v>
      </c>
      <c r="C44" s="2363"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72"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73"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3"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1410</v>
      </c>
      <c r="C53" s="3074" t="s">
        <v>2903</v>
      </c>
      <c r="D53" s="3075"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2905</v>
      </c>
      <c r="B54" s="185">
        <v>30</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2906</v>
      </c>
      <c r="B55" s="185">
        <v>24</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2907</v>
      </c>
      <c r="B56" s="185">
        <v>18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2908</v>
      </c>
      <c r="B57" s="185">
        <v>12</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2909</v>
      </c>
      <c r="B58" s="185">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2910</v>
      </c>
      <c r="B59" s="185">
        <v>1.5</v>
      </c>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2911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2912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1" t="s">
        <v>1664</v>
      </c>
      <c r="B1" s="3292"/>
      <c r="C1" s="3292"/>
      <c r="D1" s="3292"/>
      <c r="E1" s="3292"/>
      <c r="F1" s="3292"/>
      <c r="G1" s="3292"/>
      <c r="H1" s="2000"/>
      <c r="I1" s="2001"/>
      <c r="J1" s="2002"/>
      <c r="K1" s="2000"/>
      <c r="L1" s="2001"/>
      <c r="M1" s="2002"/>
      <c r="N1" s="2000"/>
      <c r="O1" s="2001"/>
      <c r="P1" s="2002"/>
      <c r="Q1" s="2003"/>
      <c r="R1" s="2004"/>
    </row>
    <row r="2" spans="1:18" ht="14.25" thickBot="1">
      <c r="A2" s="1219"/>
      <c r="B2" s="1220"/>
      <c r="C2" s="1221" t="s">
        <v>1665</v>
      </c>
      <c r="D2" s="1222"/>
      <c r="E2" s="1223"/>
      <c r="F2" s="1224"/>
      <c r="G2" s="1221" t="s">
        <v>1666</v>
      </c>
      <c r="H2" s="2006"/>
      <c r="I2" s="2006"/>
      <c r="J2" s="2006"/>
      <c r="K2" s="2006"/>
      <c r="L2" s="2006"/>
      <c r="M2" s="2006"/>
      <c r="N2" s="2006"/>
      <c r="O2" s="2006"/>
      <c r="P2" s="2006"/>
      <c r="Q2" s="2006"/>
      <c r="R2" s="2006"/>
    </row>
    <row r="3" spans="1:18" ht="81">
      <c r="A3" s="1225" t="s">
        <v>1667</v>
      </c>
      <c r="B3" s="1226" t="s">
        <v>1654</v>
      </c>
      <c r="C3" s="3179" t="s">
        <v>3205</v>
      </c>
      <c r="D3" s="2007"/>
      <c r="E3" s="1227" t="s">
        <v>1667</v>
      </c>
      <c r="F3" s="1228" t="s">
        <v>1655</v>
      </c>
      <c r="G3" s="3082" t="s">
        <v>2919</v>
      </c>
      <c r="H3" s="2006"/>
      <c r="I3" s="2006"/>
      <c r="J3" s="2006"/>
      <c r="K3" s="2006"/>
      <c r="L3" s="2006"/>
      <c r="M3" s="2006"/>
      <c r="N3" s="2006"/>
      <c r="O3" s="2006"/>
      <c r="P3" s="2006"/>
      <c r="Q3" s="2006"/>
      <c r="R3" s="2006"/>
    </row>
    <row r="4" spans="1:18" ht="53.25" customHeight="1">
      <c r="A4" s="1227"/>
      <c r="B4" s="1229" t="s">
        <v>1668</v>
      </c>
      <c r="C4" s="3199" t="s">
        <v>3206</v>
      </c>
      <c r="D4" s="2007"/>
      <c r="E4" s="1230"/>
      <c r="F4" s="1231" t="s">
        <v>1669</v>
      </c>
      <c r="G4" s="3080" t="s">
        <v>2916</v>
      </c>
      <c r="H4" s="2006"/>
      <c r="I4" s="2006"/>
      <c r="J4" s="2006"/>
      <c r="K4" s="2006"/>
      <c r="L4" s="2006"/>
      <c r="M4" s="2006"/>
      <c r="N4" s="2006"/>
      <c r="O4" s="2006"/>
      <c r="P4" s="2006"/>
      <c r="Q4" s="2006"/>
      <c r="R4" s="2006"/>
    </row>
    <row r="5" spans="1:18" ht="27">
      <c r="A5" s="1227"/>
      <c r="B5" s="1229" t="s">
        <v>1670</v>
      </c>
      <c r="C5" s="3079"/>
      <c r="D5" s="2007"/>
      <c r="E5" s="1230"/>
      <c r="F5" s="1229" t="s">
        <v>2547</v>
      </c>
      <c r="G5" s="3080" t="s">
        <v>2917</v>
      </c>
      <c r="H5" s="2006"/>
      <c r="I5" s="2006"/>
      <c r="J5" s="2006"/>
      <c r="K5" s="2006"/>
      <c r="L5" s="2006"/>
      <c r="M5" s="2006"/>
      <c r="N5" s="2006"/>
      <c r="O5" s="2006"/>
      <c r="P5" s="2006"/>
      <c r="Q5" s="2006"/>
      <c r="R5" s="2006"/>
    </row>
    <row r="6" spans="1:18" ht="67.5">
      <c r="A6" s="1227"/>
      <c r="B6" s="1229" t="s">
        <v>1656</v>
      </c>
      <c r="C6" s="3180" t="s">
        <v>3219</v>
      </c>
      <c r="D6" s="2007"/>
      <c r="E6" s="1230"/>
      <c r="F6" s="1229" t="s">
        <v>2548</v>
      </c>
      <c r="G6" s="3080" t="s">
        <v>2915</v>
      </c>
      <c r="H6" s="2006"/>
      <c r="I6" s="2006"/>
      <c r="J6" s="2006"/>
      <c r="K6" s="2006"/>
      <c r="L6" s="2006"/>
      <c r="M6" s="2006"/>
      <c r="N6" s="2006"/>
      <c r="O6" s="2006"/>
      <c r="P6" s="2006"/>
      <c r="Q6" s="2006"/>
      <c r="R6" s="2006"/>
    </row>
    <row r="7" spans="1:18" ht="41.25" thickBot="1">
      <c r="A7" s="1227"/>
      <c r="B7" s="1229" t="s">
        <v>2547</v>
      </c>
      <c r="C7" s="3180" t="s">
        <v>3207</v>
      </c>
      <c r="D7" s="2008"/>
      <c r="E7" s="1232"/>
      <c r="F7" s="1233" t="s">
        <v>1671</v>
      </c>
      <c r="G7" s="3083" t="s">
        <v>2918</v>
      </c>
      <c r="H7" s="2006"/>
      <c r="I7" s="2006"/>
      <c r="J7" s="2006"/>
      <c r="K7" s="2006"/>
      <c r="L7" s="2006"/>
      <c r="M7" s="2006"/>
      <c r="N7" s="2006"/>
      <c r="O7" s="2006"/>
      <c r="P7" s="2006"/>
      <c r="Q7" s="2006"/>
      <c r="R7" s="2006"/>
    </row>
    <row r="8" spans="1:18">
      <c r="A8" s="1227"/>
      <c r="B8" s="1229" t="s">
        <v>2548</v>
      </c>
      <c r="C8" s="3180" t="s">
        <v>3010</v>
      </c>
      <c r="D8" s="2008"/>
      <c r="E8" s="2008"/>
      <c r="F8" s="1551"/>
      <c r="G8" s="1551"/>
      <c r="H8" s="2006"/>
      <c r="I8" s="2006"/>
      <c r="J8" s="2006"/>
      <c r="K8" s="2006"/>
      <c r="L8" s="2006"/>
      <c r="M8" s="2006"/>
      <c r="N8" s="2006"/>
      <c r="O8" s="2006"/>
      <c r="P8" s="2006"/>
      <c r="Q8" s="2006"/>
      <c r="R8" s="2006"/>
    </row>
    <row r="9" spans="1:18">
      <c r="A9" s="1227"/>
      <c r="B9" s="1229" t="s">
        <v>1657</v>
      </c>
      <c r="C9" s="3181" t="s">
        <v>3208</v>
      </c>
      <c r="D9" s="2007"/>
      <c r="E9" s="2008"/>
      <c r="F9" s="1551"/>
      <c r="G9" s="1551"/>
      <c r="H9" s="2006"/>
      <c r="I9" s="2006"/>
      <c r="J9" s="2006"/>
      <c r="K9" s="2006"/>
      <c r="L9" s="2006"/>
      <c r="M9" s="2006"/>
      <c r="N9" s="2006"/>
      <c r="O9" s="2006"/>
      <c r="P9" s="2006"/>
      <c r="Q9" s="2006"/>
      <c r="R9" s="2006"/>
    </row>
    <row r="10" spans="1:18" s="2014" customFormat="1" ht="15" thickBot="1">
      <c r="A10" s="1234"/>
      <c r="B10" s="1235" t="s">
        <v>1672</v>
      </c>
      <c r="C10" s="3081" t="s">
        <v>3209</v>
      </c>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2"/>
      <c r="E13" s="2576"/>
      <c r="F13" s="2576"/>
      <c r="G13" s="2576"/>
    </row>
    <row r="14" spans="1:18" ht="14.25" thickBot="1">
      <c r="A14" s="1236"/>
      <c r="B14" s="1237"/>
      <c r="C14" s="1238" t="s">
        <v>1665</v>
      </c>
      <c r="D14" s="2007"/>
      <c r="E14" s="1239"/>
      <c r="F14" s="1239"/>
      <c r="G14" s="1221" t="s">
        <v>1666</v>
      </c>
    </row>
    <row r="15" spans="1:18" ht="81">
      <c r="A15" s="2586" t="s">
        <v>1658</v>
      </c>
      <c r="B15" s="1240" t="s">
        <v>1654</v>
      </c>
      <c r="C15" s="1241" t="str">
        <f>C3</f>
        <v>估价对象周边居住用地比例一般、居住小区规模和社区发展完善程度一般，有合生世界村、悦上城等小区，综合评价居住社区成熟度一般</v>
      </c>
      <c r="D15" s="2007"/>
      <c r="E15" s="2583" t="s">
        <v>1659</v>
      </c>
      <c r="F15" s="1240" t="s">
        <v>1674</v>
      </c>
      <c r="G15" s="1242" t="str">
        <f>G3</f>
        <v>估价对象位于XX开发区，园区建设成熟度XX，产业集聚程度XX</v>
      </c>
    </row>
    <row r="16" spans="1:18" ht="40.5">
      <c r="A16" s="2587"/>
      <c r="B16" s="1243" t="s">
        <v>1668</v>
      </c>
      <c r="C16" s="1244" t="str">
        <f>C4</f>
        <v>周边以住宅底商为主，商业氛围较差，人流量较小，商业繁华度较差</v>
      </c>
      <c r="D16" s="2007"/>
      <c r="E16" s="2584"/>
      <c r="F16" s="1245" t="s">
        <v>1669</v>
      </c>
      <c r="G16" s="1003" t="str">
        <f>G4</f>
        <v>估价对象周边道路状况、公共交通通达情况、停车便捷程度，综合评价交通便捷度较好</v>
      </c>
    </row>
    <row r="17" spans="1:7" ht="14.25">
      <c r="A17" s="2587"/>
      <c r="B17" s="1243" t="s">
        <v>1670</v>
      </c>
      <c r="C17" s="1244">
        <f>C5</f>
        <v>0</v>
      </c>
      <c r="D17" s="2008"/>
      <c r="E17" s="2584"/>
      <c r="F17" s="1245" t="s">
        <v>1675</v>
      </c>
      <c r="G17" s="2792"/>
    </row>
    <row r="18" spans="1:7" ht="67.5">
      <c r="A18" s="2587"/>
      <c r="B18" s="1245" t="s">
        <v>1656</v>
      </c>
      <c r="C18" s="1003" t="str">
        <f>C6</f>
        <v>估价对象周边道路状况一般、公共交通通达情况一般、停车便捷程度较好，有846、821等公交线路，综合评价交通便捷度较差</v>
      </c>
      <c r="D18" s="2008"/>
      <c r="E18" s="2584"/>
      <c r="F18" s="1245" t="s">
        <v>1671</v>
      </c>
      <c r="G18" s="1003" t="str">
        <f>G7</f>
        <v>该园区内是否有污染型企业，绿化情况，卫生条件，整体环境状况判断</v>
      </c>
    </row>
    <row r="19" spans="1:7" ht="27">
      <c r="A19" s="2587"/>
      <c r="B19" s="1245" t="s">
        <v>1660</v>
      </c>
      <c r="C19" s="3200" t="s">
        <v>3210</v>
      </c>
      <c r="D19" s="2007"/>
      <c r="E19" s="2584"/>
      <c r="F19" s="1229" t="s">
        <v>2547</v>
      </c>
      <c r="G19" s="1003" t="str">
        <f>G5</f>
        <v>估价对象所在区域公共配套设施齐备情况</v>
      </c>
    </row>
    <row r="20" spans="1:7" ht="27">
      <c r="A20" s="2587"/>
      <c r="B20" s="1245" t="s">
        <v>1661</v>
      </c>
      <c r="C20" s="1244" t="str">
        <f>C9</f>
        <v>综合评价环境状况较差</v>
      </c>
      <c r="D20" s="2008"/>
      <c r="E20" s="2584"/>
      <c r="F20" s="1229" t="s">
        <v>2548</v>
      </c>
      <c r="G20" s="1003" t="str">
        <f>G6</f>
        <v>估价对象所在区域基础设施水平</v>
      </c>
    </row>
    <row r="21" spans="1:7" ht="27">
      <c r="A21" s="2587"/>
      <c r="B21" s="1229" t="s">
        <v>2547</v>
      </c>
      <c r="C21" s="1003" t="str">
        <f>C7</f>
        <v>估价对象所在区域公共配套设施齐备情况较差</v>
      </c>
      <c r="D21" s="2007"/>
      <c r="E21" s="2584"/>
      <c r="F21" s="1245" t="s">
        <v>1662</v>
      </c>
      <c r="G21" s="3084"/>
    </row>
    <row r="22" spans="1:7" ht="14.25">
      <c r="A22" s="2587"/>
      <c r="B22" s="1229" t="s">
        <v>2548</v>
      </c>
      <c r="C22" s="1003" t="str">
        <f>C8</f>
        <v>七通</v>
      </c>
      <c r="D22" s="2007"/>
      <c r="E22" s="2584"/>
      <c r="F22" s="1245" t="s">
        <v>1672</v>
      </c>
      <c r="G22" s="2792"/>
    </row>
    <row r="23" spans="1:7" ht="15" thickBot="1">
      <c r="A23" s="2587"/>
      <c r="B23" s="1245" t="s">
        <v>1662</v>
      </c>
      <c r="C23" s="3084"/>
      <c r="E23" s="2585"/>
      <c r="F23" s="1246" t="s">
        <v>1676</v>
      </c>
      <c r="G23" s="3085"/>
    </row>
    <row r="24" spans="1:7" ht="14.25" thickBot="1">
      <c r="A24" s="2588"/>
      <c r="B24" s="1246" t="s">
        <v>1663</v>
      </c>
      <c r="C24" s="1247" t="str">
        <f>C10</f>
        <v>次干道-辛四路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2845</v>
      </c>
      <c r="B1" s="3043">
        <f>SUM(B14:B23)</f>
        <v>275000</v>
      </c>
      <c r="C1" s="3044"/>
      <c r="D1" s="3044"/>
      <c r="E1" s="3044"/>
      <c r="F1" s="3044"/>
    </row>
    <row r="2" spans="1:9" ht="16.5">
      <c r="A2" s="3043" t="s">
        <v>2846</v>
      </c>
      <c r="B2" s="3043">
        <f>SUM(C14:C23)</f>
        <v>86802.49</v>
      </c>
      <c r="C2" s="3044"/>
      <c r="D2" s="3044"/>
      <c r="E2" s="3044"/>
      <c r="F2" s="3044"/>
    </row>
    <row r="3" spans="1:9" ht="16.5">
      <c r="A3" s="3043" t="s">
        <v>2847</v>
      </c>
      <c r="B3" s="3045">
        <f>项目基本情况!D3</f>
        <v>43314</v>
      </c>
      <c r="C3" s="3044"/>
      <c r="D3" s="3044"/>
      <c r="E3" s="3044"/>
      <c r="F3" s="3044"/>
    </row>
    <row r="4" spans="1:9" ht="33">
      <c r="A4" s="3043" t="s">
        <v>2848</v>
      </c>
      <c r="B4" s="3043" t="s">
        <v>2849</v>
      </c>
      <c r="C4" s="3043" t="s">
        <v>2850</v>
      </c>
      <c r="D4" s="3043" t="s">
        <v>2851</v>
      </c>
      <c r="E4" s="3044"/>
      <c r="F4" s="3044"/>
    </row>
    <row r="5" spans="1:9" ht="16.5">
      <c r="A5" s="3043" t="s">
        <v>2852</v>
      </c>
      <c r="B5" s="3043">
        <f ca="1">SUM(D14:D23)</f>
        <v>256572</v>
      </c>
      <c r="C5" s="3043">
        <f ca="1">ROUND(B5*10000/$B$1,0)</f>
        <v>9330</v>
      </c>
      <c r="D5" s="3043">
        <f ca="1">ROUND(B5*10000/$B$2,0)</f>
        <v>29558</v>
      </c>
      <c r="E5" s="3044"/>
      <c r="F5" s="3044"/>
    </row>
    <row r="6" spans="1:9" ht="16.5">
      <c r="A6" s="3043" t="s">
        <v>2853</v>
      </c>
      <c r="B6" s="3043">
        <f ca="1">SUM(G14:G23)</f>
        <v>256572</v>
      </c>
      <c r="C6" s="3043">
        <f t="shared" ref="C6:C8" ca="1" si="0">ROUND(B6*10000/$B$1,0)</f>
        <v>9330</v>
      </c>
      <c r="D6" s="3043">
        <f t="shared" ref="D6:D8" ca="1" si="1">ROUND(B6*10000/$B$2,0)</f>
        <v>29558</v>
      </c>
      <c r="E6" s="3044"/>
      <c r="F6" s="3044"/>
    </row>
    <row r="7" spans="1:9" ht="16.5">
      <c r="A7" s="3043" t="s">
        <v>2854</v>
      </c>
      <c r="B7" s="3043">
        <f>SUM(H14:H23)</f>
        <v>0</v>
      </c>
      <c r="C7" s="3043">
        <f t="shared" si="0"/>
        <v>0</v>
      </c>
      <c r="D7" s="3043">
        <f t="shared" si="1"/>
        <v>0</v>
      </c>
      <c r="E7" s="3044"/>
      <c r="F7" s="3044"/>
    </row>
    <row r="8" spans="1:9" ht="16.5">
      <c r="A8" s="3043" t="s">
        <v>2855</v>
      </c>
      <c r="B8" s="3043">
        <f>SUM(I14:I23)</f>
        <v>0</v>
      </c>
      <c r="C8" s="3043">
        <f t="shared" si="0"/>
        <v>0</v>
      </c>
      <c r="D8" s="3043">
        <f t="shared" si="1"/>
        <v>0</v>
      </c>
      <c r="E8" s="3044"/>
      <c r="F8" s="3044"/>
    </row>
    <row r="9" spans="1:9" ht="16.5">
      <c r="A9" s="3043" t="s">
        <v>2856</v>
      </c>
      <c r="B9" s="3046"/>
      <c r="C9" s="3044"/>
      <c r="D9" s="3044"/>
      <c r="E9" s="3044"/>
      <c r="F9" s="3044"/>
    </row>
    <row r="10" spans="1:9" ht="16.5">
      <c r="A10" s="3043" t="s">
        <v>2857</v>
      </c>
      <c r="B10" s="3046"/>
      <c r="C10" s="3044"/>
      <c r="D10" s="3044"/>
      <c r="E10" s="3044"/>
      <c r="F10" s="3044"/>
    </row>
    <row r="11" spans="1:9" ht="16.5">
      <c r="A11" s="3043" t="s">
        <v>2874</v>
      </c>
      <c r="B11" s="3046"/>
      <c r="C11" s="3044"/>
      <c r="D11" s="3044"/>
      <c r="E11" s="3044"/>
      <c r="F11" s="3044"/>
    </row>
    <row r="12" spans="1:9" ht="16.5">
      <c r="A12" s="3044"/>
      <c r="B12" s="3044"/>
      <c r="C12" s="3044"/>
      <c r="D12" s="3044"/>
      <c r="E12" s="3044"/>
      <c r="F12" s="3044"/>
    </row>
    <row r="13" spans="1:9" ht="33">
      <c r="A13" s="3049" t="s">
        <v>2873</v>
      </c>
      <c r="B13" s="3047" t="s">
        <v>2845</v>
      </c>
      <c r="C13" s="3047" t="s">
        <v>2846</v>
      </c>
      <c r="D13" s="3047" t="s">
        <v>2858</v>
      </c>
      <c r="E13" s="3043" t="s">
        <v>2872</v>
      </c>
      <c r="F13" s="3043" t="s">
        <v>2851</v>
      </c>
      <c r="G13" s="3047" t="s">
        <v>2859</v>
      </c>
      <c r="H13" s="3047" t="s">
        <v>2860</v>
      </c>
      <c r="I13" s="3047" t="s">
        <v>2861</v>
      </c>
    </row>
    <row r="14" spans="1:9" ht="16.5">
      <c r="A14" s="3050" t="s">
        <v>2871</v>
      </c>
      <c r="B14" s="3047">
        <f>结果表!L38</f>
        <v>275000</v>
      </c>
      <c r="C14" s="3047">
        <f>结果表!K38</f>
        <v>86802.49</v>
      </c>
      <c r="D14" s="3047">
        <f ca="1">结果表!C42</f>
        <v>256572</v>
      </c>
      <c r="E14" s="3047">
        <f ca="1">ROUND(D14*10000/B14,0)</f>
        <v>9330</v>
      </c>
      <c r="F14" s="3047">
        <f ca="1">ROUND(D14*10000/C14,0)</f>
        <v>29558</v>
      </c>
      <c r="G14" s="3047">
        <f ca="1">结果表!C44</f>
        <v>256572</v>
      </c>
      <c r="H14" s="3047" t="str">
        <f>结果表!C45</f>
        <v>——</v>
      </c>
      <c r="I14" s="3047" t="str">
        <f>结果表!C46</f>
        <v>——</v>
      </c>
    </row>
    <row r="15" spans="1:9" ht="16.5">
      <c r="A15" s="3050" t="s">
        <v>2862</v>
      </c>
      <c r="B15" s="3051"/>
      <c r="C15" s="3051"/>
      <c r="D15" s="3051"/>
      <c r="E15" s="3047" t="e">
        <f t="shared" ref="E15:E23" si="2">ROUND(D15*10000/B15,0)</f>
        <v>#DIV/0!</v>
      </c>
      <c r="F15" s="3047" t="e">
        <f t="shared" ref="F15:F23" si="3">ROUND(D15*10000/C15,0)</f>
        <v>#DIV/0!</v>
      </c>
      <c r="G15" s="3048"/>
      <c r="H15" s="3048"/>
      <c r="I15" s="3051"/>
    </row>
    <row r="16" spans="1:9" ht="16.5">
      <c r="A16" s="3050" t="s">
        <v>2863</v>
      </c>
      <c r="B16" s="3051"/>
      <c r="C16" s="3051"/>
      <c r="D16" s="3051"/>
      <c r="E16" s="3047" t="e">
        <f t="shared" si="2"/>
        <v>#DIV/0!</v>
      </c>
      <c r="F16" s="3047" t="e">
        <f t="shared" si="3"/>
        <v>#DIV/0!</v>
      </c>
      <c r="G16" s="3048"/>
      <c r="H16" s="3048"/>
      <c r="I16" s="3051"/>
    </row>
    <row r="17" spans="1:9" ht="16.5">
      <c r="A17" s="3050" t="s">
        <v>2864</v>
      </c>
      <c r="B17" s="3051"/>
      <c r="C17" s="3051"/>
      <c r="D17" s="3051"/>
      <c r="E17" s="3047" t="e">
        <f t="shared" si="2"/>
        <v>#DIV/0!</v>
      </c>
      <c r="F17" s="3047" t="e">
        <f t="shared" si="3"/>
        <v>#DIV/0!</v>
      </c>
      <c r="G17" s="3048"/>
      <c r="H17" s="3048"/>
      <c r="I17" s="3051"/>
    </row>
    <row r="18" spans="1:9" ht="16.5">
      <c r="A18" s="3050" t="s">
        <v>2865</v>
      </c>
      <c r="B18" s="3051"/>
      <c r="C18" s="3051"/>
      <c r="D18" s="3051"/>
      <c r="E18" s="3047" t="e">
        <f t="shared" si="2"/>
        <v>#DIV/0!</v>
      </c>
      <c r="F18" s="3047" t="e">
        <f t="shared" si="3"/>
        <v>#DIV/0!</v>
      </c>
      <c r="G18" s="3051"/>
      <c r="H18" s="3051"/>
      <c r="I18" s="3051"/>
    </row>
    <row r="19" spans="1:9" ht="16.5">
      <c r="A19" s="3050" t="s">
        <v>2866</v>
      </c>
      <c r="B19" s="3051"/>
      <c r="C19" s="3051"/>
      <c r="D19" s="3051"/>
      <c r="E19" s="3047" t="e">
        <f t="shared" si="2"/>
        <v>#DIV/0!</v>
      </c>
      <c r="F19" s="3047" t="e">
        <f t="shared" si="3"/>
        <v>#DIV/0!</v>
      </c>
      <c r="G19" s="3051"/>
      <c r="H19" s="3051"/>
      <c r="I19" s="3051"/>
    </row>
    <row r="20" spans="1:9" ht="16.5">
      <c r="A20" s="3050" t="s">
        <v>2867</v>
      </c>
      <c r="B20" s="3051"/>
      <c r="C20" s="3051"/>
      <c r="D20" s="3051"/>
      <c r="E20" s="3047" t="e">
        <f t="shared" si="2"/>
        <v>#DIV/0!</v>
      </c>
      <c r="F20" s="3047" t="e">
        <f t="shared" si="3"/>
        <v>#DIV/0!</v>
      </c>
      <c r="G20" s="3051"/>
      <c r="H20" s="3051"/>
      <c r="I20" s="3051"/>
    </row>
    <row r="21" spans="1:9" ht="16.5">
      <c r="A21" s="3050" t="s">
        <v>2868</v>
      </c>
      <c r="B21" s="3051"/>
      <c r="C21" s="3051"/>
      <c r="D21" s="3051"/>
      <c r="E21" s="3047" t="e">
        <f t="shared" si="2"/>
        <v>#DIV/0!</v>
      </c>
      <c r="F21" s="3047" t="e">
        <f t="shared" si="3"/>
        <v>#DIV/0!</v>
      </c>
      <c r="G21" s="3051"/>
      <c r="H21" s="3051"/>
      <c r="I21" s="3051"/>
    </row>
    <row r="22" spans="1:9" ht="16.5">
      <c r="A22" s="3050" t="s">
        <v>2869</v>
      </c>
      <c r="B22" s="3051"/>
      <c r="C22" s="3051"/>
      <c r="D22" s="3051"/>
      <c r="E22" s="3047" t="e">
        <f t="shared" si="2"/>
        <v>#DIV/0!</v>
      </c>
      <c r="F22" s="3047" t="e">
        <f t="shared" si="3"/>
        <v>#DIV/0!</v>
      </c>
      <c r="G22" s="3051"/>
      <c r="H22" s="3051"/>
      <c r="I22" s="3051"/>
    </row>
    <row r="23" spans="1:9" ht="16.5">
      <c r="A23" s="3050" t="s">
        <v>2870</v>
      </c>
      <c r="B23" s="3051"/>
      <c r="C23" s="3051"/>
      <c r="D23" s="3051"/>
      <c r="E23" s="3043" t="e">
        <f t="shared" si="2"/>
        <v>#DIV/0!</v>
      </c>
      <c r="F23" s="3043" t="e">
        <f t="shared" si="3"/>
        <v>#DIV/0!</v>
      </c>
      <c r="G23" s="3051"/>
      <c r="H23" s="3051"/>
      <c r="I23" s="3051"/>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2057</v>
      </c>
      <c r="B1" s="1775"/>
      <c r="C1" s="1803" t="s">
        <v>2058</v>
      </c>
      <c r="D1" s="1804" t="s">
        <v>3072</v>
      </c>
      <c r="E1" s="1803" t="s">
        <v>2059</v>
      </c>
      <c r="F1" s="1805" t="s">
        <v>3073</v>
      </c>
      <c r="G1" s="310"/>
      <c r="H1" s="310"/>
      <c r="I1" s="310"/>
      <c r="J1" s="2027"/>
      <c r="K1" s="2027"/>
      <c r="L1" s="2027"/>
      <c r="M1" s="2027"/>
      <c r="N1" s="2027"/>
      <c r="O1" s="2027"/>
      <c r="P1" s="2027"/>
      <c r="Q1" s="2027"/>
      <c r="R1" s="2027"/>
      <c r="S1" s="2027"/>
      <c r="T1" s="2027"/>
      <c r="U1" s="2027"/>
      <c r="V1" s="2027"/>
    </row>
    <row r="2" spans="1:22" ht="21.75" customHeight="1" thickBot="1">
      <c r="A2" s="3338" t="str">
        <f>项目基本情况!K2</f>
        <v>北京市北京市通州区马驹桥镇金桥科技产业基地共2宗住宅用地出让国有建设用地使用权</v>
      </c>
      <c r="B2" s="3339"/>
      <c r="C2" s="3340"/>
      <c r="D2" s="3340"/>
      <c r="E2" s="3340"/>
      <c r="F2" s="3340"/>
      <c r="G2" s="3339"/>
      <c r="H2" s="3339"/>
      <c r="I2" s="3341"/>
      <c r="J2" s="2028"/>
      <c r="K2" s="2027"/>
      <c r="L2" s="2027"/>
      <c r="M2" s="2027"/>
      <c r="N2" s="2027"/>
      <c r="O2" s="2027"/>
      <c r="P2" s="2027"/>
      <c r="Q2" s="2027"/>
      <c r="R2" s="2027"/>
      <c r="S2" s="2027"/>
      <c r="T2" s="2027"/>
      <c r="U2" s="2027"/>
      <c r="V2" s="2027"/>
    </row>
    <row r="3" spans="1:22" ht="14.25">
      <c r="A3" s="3349" t="s">
        <v>298</v>
      </c>
      <c r="B3" s="3350"/>
      <c r="C3" s="3350"/>
      <c r="D3" s="3350"/>
      <c r="E3" s="3350"/>
      <c r="F3" s="3350"/>
      <c r="G3" s="3350"/>
      <c r="H3" s="3350"/>
      <c r="I3" s="3350"/>
      <c r="J3" s="2028"/>
      <c r="K3" s="2027"/>
      <c r="L3" s="2027"/>
      <c r="M3" s="2027"/>
      <c r="N3" s="2027"/>
      <c r="O3" s="2027"/>
      <c r="P3" s="2027"/>
      <c r="Q3" s="2027"/>
      <c r="R3" s="2027"/>
      <c r="S3" s="2027"/>
      <c r="T3" s="2027"/>
      <c r="U3" s="2027"/>
      <c r="V3" s="2027"/>
    </row>
    <row r="4" spans="1:22" ht="14.25">
      <c r="A4" s="257" t="s">
        <v>299</v>
      </c>
      <c r="B4" s="258" t="s">
        <v>300</v>
      </c>
      <c r="C4" s="259" t="s">
        <v>3007</v>
      </c>
      <c r="D4" s="259" t="s">
        <v>3008</v>
      </c>
      <c r="E4" s="3313" t="s">
        <v>301</v>
      </c>
      <c r="F4" s="3355"/>
      <c r="G4" s="3355"/>
      <c r="H4" s="3355"/>
      <c r="I4" s="3314"/>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2" t="s">
        <v>302</v>
      </c>
      <c r="B5" s="3343">
        <v>25</v>
      </c>
      <c r="C5" s="3351"/>
      <c r="D5" s="3354"/>
      <c r="E5" s="260" t="s">
        <v>303</v>
      </c>
      <c r="F5" s="261"/>
      <c r="G5" s="261"/>
      <c r="H5" s="261"/>
      <c r="I5" s="262"/>
      <c r="J5" s="2028"/>
      <c r="K5" s="2027"/>
      <c r="L5" s="2027"/>
      <c r="M5" s="2027"/>
      <c r="N5" s="2027"/>
      <c r="O5" s="2027"/>
      <c r="P5" s="2027"/>
      <c r="Q5" s="2027"/>
      <c r="R5" s="2027"/>
      <c r="S5" s="2027"/>
      <c r="T5" s="2027"/>
      <c r="U5" s="2027"/>
      <c r="V5" s="2027"/>
    </row>
    <row r="6" spans="1:22" ht="14.25">
      <c r="A6" s="3342"/>
      <c r="B6" s="3343"/>
      <c r="C6" s="3352"/>
      <c r="D6" s="3354"/>
      <c r="E6" s="260" t="s">
        <v>304</v>
      </c>
      <c r="F6" s="261"/>
      <c r="G6" s="261"/>
      <c r="H6" s="261"/>
      <c r="I6" s="262"/>
      <c r="J6" s="2028"/>
      <c r="K6" s="2027"/>
      <c r="L6" s="2027"/>
      <c r="M6" s="2027"/>
      <c r="N6" s="2027"/>
      <c r="O6" s="2027"/>
      <c r="P6" s="2027"/>
      <c r="Q6" s="2027"/>
      <c r="R6" s="2027"/>
      <c r="S6" s="2027"/>
      <c r="T6" s="2027"/>
      <c r="U6" s="2027"/>
      <c r="V6" s="2027"/>
    </row>
    <row r="7" spans="1:22" ht="14.25">
      <c r="A7" s="3342"/>
      <c r="B7" s="3343"/>
      <c r="C7" s="3353"/>
      <c r="D7" s="3354"/>
      <c r="E7" s="260" t="s">
        <v>305</v>
      </c>
      <c r="F7" s="261"/>
      <c r="G7" s="261"/>
      <c r="H7" s="261"/>
      <c r="I7" s="262"/>
      <c r="J7" s="2028"/>
      <c r="K7" s="2027"/>
      <c r="L7" s="2027"/>
      <c r="M7" s="2027"/>
      <c r="N7" s="2027"/>
      <c r="O7" s="2027"/>
      <c r="P7" s="2027"/>
      <c r="Q7" s="2027"/>
      <c r="R7" s="2027"/>
      <c r="S7" s="2027"/>
      <c r="T7" s="2027"/>
      <c r="U7" s="2027"/>
      <c r="V7" s="2027"/>
    </row>
    <row r="8" spans="1:22" ht="14.25">
      <c r="A8" s="3342" t="s">
        <v>306</v>
      </c>
      <c r="B8" s="3343">
        <v>15</v>
      </c>
      <c r="C8" s="3351"/>
      <c r="D8" s="3354"/>
      <c r="E8" s="260" t="s">
        <v>307</v>
      </c>
      <c r="F8" s="261"/>
      <c r="G8" s="261"/>
      <c r="H8" s="261"/>
      <c r="I8" s="262"/>
      <c r="J8" s="2028"/>
      <c r="K8" s="2027"/>
      <c r="L8" s="2027"/>
      <c r="M8" s="2027"/>
      <c r="N8" s="2027"/>
      <c r="O8" s="2027"/>
      <c r="P8" s="2027"/>
      <c r="Q8" s="2027"/>
      <c r="R8" s="2027"/>
      <c r="S8" s="2027"/>
      <c r="T8" s="2027"/>
      <c r="U8" s="2027"/>
      <c r="V8" s="2027"/>
    </row>
    <row r="9" spans="1:22" ht="14.25">
      <c r="A9" s="3342"/>
      <c r="B9" s="3343"/>
      <c r="C9" s="3353"/>
      <c r="D9" s="3354"/>
      <c r="E9" s="260" t="s">
        <v>308</v>
      </c>
      <c r="F9" s="261"/>
      <c r="G9" s="261"/>
      <c r="H9" s="261"/>
      <c r="I9" s="262"/>
      <c r="J9" s="2028"/>
      <c r="K9" s="2027"/>
      <c r="L9" s="2027"/>
      <c r="M9" s="2027"/>
      <c r="N9" s="2027"/>
      <c r="O9" s="2027"/>
      <c r="P9" s="2027"/>
      <c r="Q9" s="2027"/>
      <c r="R9" s="2027"/>
      <c r="S9" s="2027"/>
      <c r="T9" s="2027"/>
      <c r="U9" s="2027"/>
      <c r="V9" s="2027"/>
    </row>
    <row r="10" spans="1:22" ht="14.25">
      <c r="A10" s="3342" t="s">
        <v>309</v>
      </c>
      <c r="B10" s="3343">
        <v>15</v>
      </c>
      <c r="C10" s="3351"/>
      <c r="D10" s="3354"/>
      <c r="E10" s="260" t="s">
        <v>310</v>
      </c>
      <c r="F10" s="261"/>
      <c r="G10" s="261"/>
      <c r="H10" s="261"/>
      <c r="I10" s="262"/>
      <c r="J10" s="2028"/>
      <c r="K10" s="2027"/>
      <c r="L10" s="2027"/>
      <c r="M10" s="2027"/>
      <c r="N10" s="2027"/>
      <c r="O10" s="2027"/>
      <c r="P10" s="2027"/>
      <c r="Q10" s="2027"/>
      <c r="R10" s="2027"/>
      <c r="S10" s="2027"/>
      <c r="T10" s="2027"/>
      <c r="U10" s="2027"/>
      <c r="V10" s="2027"/>
    </row>
    <row r="11" spans="1:22" ht="14.25">
      <c r="A11" s="3342"/>
      <c r="B11" s="3343"/>
      <c r="C11" s="3353"/>
      <c r="D11" s="3354"/>
      <c r="E11" s="260" t="s">
        <v>311</v>
      </c>
      <c r="F11" s="261"/>
      <c r="G11" s="261"/>
      <c r="H11" s="261"/>
      <c r="I11" s="262"/>
      <c r="J11" s="2028"/>
      <c r="K11" s="2027"/>
      <c r="L11" s="2027"/>
      <c r="M11" s="2027"/>
      <c r="N11" s="2027"/>
      <c r="O11" s="2027"/>
      <c r="P11" s="2027"/>
      <c r="Q11" s="2027"/>
      <c r="R11" s="2027"/>
      <c r="S11" s="2027"/>
      <c r="T11" s="2027"/>
      <c r="U11" s="2027"/>
      <c r="V11" s="2027"/>
    </row>
    <row r="12" spans="1:22" ht="14.25">
      <c r="A12" s="3342" t="s">
        <v>312</v>
      </c>
      <c r="B12" s="3343">
        <v>15</v>
      </c>
      <c r="C12" s="3351"/>
      <c r="D12" s="3354"/>
      <c r="E12" s="260" t="s">
        <v>313</v>
      </c>
      <c r="F12" s="261"/>
      <c r="G12" s="261"/>
      <c r="H12" s="261"/>
      <c r="I12" s="262"/>
      <c r="J12" s="2028"/>
      <c r="K12" s="2027"/>
      <c r="L12" s="2027"/>
      <c r="M12" s="2027"/>
      <c r="N12" s="2027"/>
      <c r="O12" s="2027"/>
      <c r="P12" s="2027"/>
      <c r="Q12" s="2027"/>
      <c r="R12" s="2027"/>
      <c r="S12" s="2027"/>
      <c r="T12" s="2027"/>
      <c r="U12" s="2027"/>
      <c r="V12" s="2027"/>
    </row>
    <row r="13" spans="1:22" ht="14.25">
      <c r="A13" s="3342"/>
      <c r="B13" s="3343"/>
      <c r="C13" s="3353"/>
      <c r="D13" s="3354"/>
      <c r="E13" s="260" t="s">
        <v>314</v>
      </c>
      <c r="F13" s="261"/>
      <c r="G13" s="261"/>
      <c r="H13" s="261"/>
      <c r="I13" s="262"/>
      <c r="J13" s="2028"/>
      <c r="K13" s="2027"/>
      <c r="L13" s="2027"/>
      <c r="M13" s="2027"/>
      <c r="N13" s="2027"/>
      <c r="O13" s="2027"/>
      <c r="P13" s="2027"/>
      <c r="Q13" s="2027"/>
      <c r="R13" s="2027"/>
      <c r="S13" s="2027"/>
      <c r="T13" s="2027"/>
      <c r="U13" s="2027"/>
      <c r="V13" s="2027"/>
    </row>
    <row r="14" spans="1:22" ht="14.25">
      <c r="A14" s="3342" t="s">
        <v>315</v>
      </c>
      <c r="B14" s="3343">
        <v>30</v>
      </c>
      <c r="C14" s="3351">
        <v>5</v>
      </c>
      <c r="D14" s="3354">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42"/>
      <c r="B15" s="3343"/>
      <c r="C15" s="3352"/>
      <c r="D15" s="3354"/>
      <c r="E15" s="260" t="s">
        <v>317</v>
      </c>
      <c r="F15" s="261"/>
      <c r="G15" s="261"/>
      <c r="H15" s="261"/>
      <c r="I15" s="262"/>
      <c r="J15" s="2028"/>
      <c r="K15" s="2027"/>
      <c r="L15" s="2027"/>
      <c r="M15" s="2027"/>
      <c r="N15" s="2027"/>
      <c r="O15" s="2027"/>
      <c r="P15" s="2027"/>
      <c r="Q15" s="2027"/>
      <c r="R15" s="2027"/>
      <c r="S15" s="2027"/>
      <c r="T15" s="2027"/>
      <c r="U15" s="2027"/>
      <c r="V15" s="2027"/>
    </row>
    <row r="16" spans="1:22" ht="14.25">
      <c r="A16" s="3342"/>
      <c r="B16" s="3343"/>
      <c r="C16" s="3353"/>
      <c r="D16" s="3354"/>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3"/>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4"/>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282482</v>
      </c>
      <c r="D19" s="270">
        <f ca="1">SUMIF(INDIRECT("'"&amp;D4&amp;"'"&amp;"!A:A"),结果表!B19,INDIRECT("'"&amp;D4&amp;"'"&amp;"!B:B"))</f>
        <v>230661</v>
      </c>
      <c r="E19" s="267" t="s">
        <v>323</v>
      </c>
      <c r="F19" s="268" t="s">
        <v>322</v>
      </c>
      <c r="G19" s="271">
        <f ca="1">ROUND(C19*$C$18+D19*$D$18,0)</f>
        <v>256572</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10272</v>
      </c>
      <c r="D20" s="276">
        <f ca="1">SUMIF(INDIRECT("'"&amp;D4&amp;"'"&amp;"!A:A"),结果表!B20,INDIRECT("'"&amp;D4&amp;"'"&amp;"!B:B"))</f>
        <v>8388</v>
      </c>
      <c r="E20" s="273"/>
      <c r="F20" s="274" t="s">
        <v>325</v>
      </c>
      <c r="G20" s="277">
        <f ca="1">ROUND(C20*$C$18+D20*$D$18,0)</f>
        <v>9330</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32543</v>
      </c>
      <c r="D21" s="150">
        <f ca="1">SUMIF(INDIRECT("'"&amp;D4&amp;"'"&amp;"!A:A"),结果表!B21,INDIRECT("'"&amp;D4&amp;"'"&amp;"!B:B"))</f>
        <v>26573</v>
      </c>
      <c r="E21" s="273"/>
      <c r="F21" s="279" t="s">
        <v>327</v>
      </c>
      <c r="G21" s="281">
        <f ca="1">ROUND(C21*$C$18+D21*$D$18,0)</f>
        <v>29558</v>
      </c>
      <c r="H21" s="1249" t="s">
        <v>326</v>
      </c>
      <c r="I21" s="310"/>
      <c r="J21" s="2027"/>
      <c r="K21" s="2027"/>
      <c r="L21" s="2027"/>
      <c r="M21" s="2027"/>
      <c r="N21" s="2027"/>
      <c r="O21" s="2027"/>
      <c r="P21" s="2027"/>
      <c r="Q21" s="2027"/>
      <c r="R21" s="2027"/>
      <c r="S21" s="2027"/>
      <c r="T21" s="2027"/>
      <c r="U21" s="2027"/>
      <c r="V21" s="2027"/>
    </row>
    <row r="22" spans="1:26" ht="15.75" thickBot="1">
      <c r="A22" s="125" t="s">
        <v>328</v>
      </c>
      <c r="B22" s="1250"/>
      <c r="C22" s="1251"/>
      <c r="D22" s="282">
        <f ca="1">IF(C19&lt;D19,D19/C19-1,C19/D19-1)</f>
        <v>0.22466303362943885</v>
      </c>
      <c r="E22" s="283"/>
      <c r="F22" s="284"/>
      <c r="G22" s="285">
        <f ca="1">ROUND(G19/('数据-汇总表'!D3/666.67),0)</f>
        <v>1971</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15"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57"/>
      <c r="B25" s="1319" t="s">
        <v>331</v>
      </c>
      <c r="C25" s="289">
        <f>IF(B30=0,0,C30)</f>
        <v>0</v>
      </c>
      <c r="D25" s="290"/>
      <c r="E25" s="310"/>
      <c r="F25" s="310"/>
      <c r="G25" s="310"/>
      <c r="H25" s="310"/>
      <c r="I25" s="310"/>
      <c r="J25" s="2027"/>
      <c r="K25" s="1253" t="str">
        <f ca="1">项目基本情况!B16&amp;"国有建设用地使用权价格："&amp;O38&amp;"万元"</f>
        <v>出让国有建设用地使用权价格：256572万元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大写金额：人民币贰拾伍亿陆仟伍佰柒拾贰万元整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单位面积地价：29558元/平方米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楼面地价：9330元/平方米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抵押价格：256572万元</v>
      </c>
      <c r="L29" s="1250"/>
      <c r="M29" s="1250"/>
      <c r="N29" s="1250"/>
      <c r="O29" s="1249"/>
      <c r="P29" s="2027"/>
      <c r="V29" s="2027"/>
    </row>
    <row r="30" spans="1:26" ht="18.75" thickBot="1">
      <c r="A30" s="3127" t="s">
        <v>336</v>
      </c>
      <c r="B30" s="308"/>
      <c r="C30" s="308"/>
      <c r="D30" s="309"/>
      <c r="E30" s="3128" t="s">
        <v>2966</v>
      </c>
      <c r="F30" s="310"/>
      <c r="G30" s="310"/>
      <c r="H30" s="310"/>
      <c r="I30" s="310"/>
      <c r="J30" s="2027"/>
      <c r="K30" s="1256" t="str">
        <f ca="1">IF(K29="——","——","大写金额：人民币"&amp;NUMBERSTRING(INT(O39*10000),2)&amp;"元整")</f>
        <v>大写金额：人民币贰拾伍亿陆仟伍佰柒拾贰万元整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75" thickBot="1">
      <c r="A32" s="267" t="s">
        <v>337</v>
      </c>
      <c r="B32" s="1379" t="s">
        <v>1689</v>
      </c>
      <c r="C32" s="1380">
        <f ca="1">G19-C24</f>
        <v>256572</v>
      </c>
      <c r="D32" s="1381" t="s">
        <v>1690</v>
      </c>
      <c r="E32" s="310"/>
      <c r="F32" s="310"/>
      <c r="G32" s="310"/>
      <c r="H32" s="310"/>
      <c r="I32" s="310"/>
      <c r="J32" s="2027"/>
      <c r="K32" s="2462" t="str">
        <f>IF(K31="——","——","大写金额：人民币"&amp;NUMBERSTRING(INT(O40*10000),2)&amp;"元整")</f>
        <v>——</v>
      </c>
      <c r="L32" s="2465"/>
      <c r="M32" s="2465"/>
      <c r="N32" s="2465"/>
      <c r="O32" s="2466"/>
      <c r="P32" s="2027"/>
      <c r="V32" s="2027"/>
    </row>
    <row r="33" spans="1:26" ht="18.75" thickBot="1">
      <c r="A33" s="297" t="s">
        <v>340</v>
      </c>
      <c r="B33" s="1382" t="s">
        <v>1691</v>
      </c>
      <c r="C33" s="263">
        <f ca="1">ROUND(C32*10000/'数据-汇总表'!E3,0)</f>
        <v>9330</v>
      </c>
      <c r="D33" s="1383" t="s">
        <v>1692</v>
      </c>
      <c r="E33" s="3315" t="s">
        <v>338</v>
      </c>
      <c r="F33" s="295" t="s">
        <v>339</v>
      </c>
      <c r="G33" s="296"/>
      <c r="H33" s="978"/>
      <c r="I33" s="1257"/>
      <c r="J33" s="2027"/>
      <c r="K33" s="1256" t="str">
        <f>IF(项目基本情况!E9="——","——","抵押净值："&amp;C46&amp;"万元")</f>
        <v>——</v>
      </c>
      <c r="L33" s="1250"/>
      <c r="M33" s="1250"/>
      <c r="N33" s="1250"/>
      <c r="O33" s="1249"/>
      <c r="P33" s="2027"/>
      <c r="V33" s="2027"/>
    </row>
    <row r="34" spans="1:26" s="1252" customFormat="1" ht="18.75" thickBot="1">
      <c r="A34" s="299"/>
      <c r="B34" s="1384" t="s">
        <v>1693</v>
      </c>
      <c r="C34" s="263">
        <f ca="1">ROUND(C32*10000/'数据-汇总表'!D3,0)</f>
        <v>29558</v>
      </c>
      <c r="D34" s="1385" t="s">
        <v>1692</v>
      </c>
      <c r="E34" s="3316"/>
      <c r="F34" s="126" t="s">
        <v>341</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1971</v>
      </c>
      <c r="D35" s="1388" t="s">
        <v>1694</v>
      </c>
      <c r="E35" s="3317"/>
      <c r="F35" s="300" t="s">
        <v>342</v>
      </c>
      <c r="G35" s="980"/>
      <c r="H35" s="979" t="s">
        <v>343</v>
      </c>
      <c r="I35" s="310"/>
      <c r="J35" s="2027"/>
      <c r="K35" s="3321" t="s">
        <v>350</v>
      </c>
      <c r="L35" s="3321" t="s">
        <v>351</v>
      </c>
      <c r="M35" s="1262" t="s">
        <v>352</v>
      </c>
      <c r="N35" s="3321" t="s">
        <v>353</v>
      </c>
      <c r="O35" s="3321" t="s">
        <v>354</v>
      </c>
      <c r="P35" s="2027"/>
      <c r="V35" s="2027"/>
    </row>
    <row r="36" spans="1:26" ht="16.5" customHeight="1">
      <c r="A36" s="302" t="s">
        <v>344</v>
      </c>
      <c r="B36" s="303" t="s">
        <v>333</v>
      </c>
      <c r="C36" s="304" t="s">
        <v>345</v>
      </c>
      <c r="D36" s="304" t="s">
        <v>346</v>
      </c>
      <c r="E36" s="305" t="s">
        <v>347</v>
      </c>
      <c r="F36" s="310"/>
      <c r="G36" s="310"/>
      <c r="H36" s="310"/>
      <c r="I36" s="310"/>
      <c r="J36" s="2029"/>
      <c r="K36" s="3322"/>
      <c r="L36" s="3322"/>
      <c r="M36" s="1264" t="s">
        <v>355</v>
      </c>
      <c r="N36" s="3322"/>
      <c r="O36" s="3322"/>
      <c r="P36" s="2027"/>
      <c r="V36" s="2027"/>
    </row>
    <row r="37" spans="1:26" ht="16.5" customHeight="1" thickBot="1">
      <c r="A37" s="1258" t="s">
        <v>348</v>
      </c>
      <c r="B37" s="306"/>
      <c r="C37" s="293"/>
      <c r="D37" s="293"/>
      <c r="E37" s="294"/>
      <c r="F37" s="310"/>
      <c r="G37" s="310"/>
      <c r="H37" s="310"/>
      <c r="I37" s="310"/>
      <c r="J37" s="2029"/>
      <c r="K37" s="3323"/>
      <c r="L37" s="3323"/>
      <c r="M37" s="1265"/>
      <c r="N37" s="3323"/>
      <c r="O37" s="3323"/>
      <c r="P37" s="2027"/>
      <c r="V37" s="2027"/>
    </row>
    <row r="38" spans="1:26" ht="16.5" customHeight="1" thickBot="1">
      <c r="A38" s="1258" t="s">
        <v>349</v>
      </c>
      <c r="B38" s="306"/>
      <c r="C38" s="293"/>
      <c r="D38" s="293"/>
      <c r="E38" s="294"/>
      <c r="F38" s="310"/>
      <c r="G38" s="310"/>
      <c r="H38" s="310"/>
      <c r="I38" s="310"/>
      <c r="J38" s="2029"/>
      <c r="K38" s="1266">
        <f>'数据-汇总表'!D3</f>
        <v>86802.49</v>
      </c>
      <c r="L38" s="1267">
        <f>'数据-汇总表'!E3</f>
        <v>275000</v>
      </c>
      <c r="M38" s="1267">
        <f ca="1">C34</f>
        <v>29558</v>
      </c>
      <c r="N38" s="1267">
        <f ca="1">C33</f>
        <v>9330</v>
      </c>
      <c r="O38" s="1268">
        <f ca="1">C32</f>
        <v>256572</v>
      </c>
      <c r="P38" s="2027"/>
      <c r="V38" s="2027"/>
    </row>
    <row r="39" spans="1:26" ht="16.5" customHeight="1" thickBot="1">
      <c r="A39" s="1263"/>
      <c r="B39" s="307"/>
      <c r="C39" s="308"/>
      <c r="D39" s="308"/>
      <c r="E39" s="309"/>
      <c r="F39" s="310"/>
      <c r="G39" s="310"/>
      <c r="H39" s="310"/>
      <c r="I39" s="310"/>
      <c r="J39" s="2029"/>
      <c r="K39" s="3298" t="str">
        <f>MID(A44,3,LEN(A44)-2)</f>
        <v>抵押价格</v>
      </c>
      <c r="L39" s="3299"/>
      <c r="M39" s="3299"/>
      <c r="N39" s="3300"/>
      <c r="O39" s="1390">
        <f ca="1">C44</f>
        <v>256572</v>
      </c>
      <c r="P39" s="2027"/>
      <c r="V39" s="2027"/>
    </row>
    <row r="40" spans="1:26" ht="19.5" thickBot="1">
      <c r="A40" s="103" t="s">
        <v>873</v>
      </c>
      <c r="B40" s="310"/>
      <c r="C40" s="310"/>
      <c r="D40" s="310"/>
      <c r="E40" s="310"/>
      <c r="F40" s="310"/>
      <c r="G40" s="310"/>
      <c r="H40" s="310"/>
      <c r="I40" s="310"/>
      <c r="J40" s="2029"/>
      <c r="K40" s="3298" t="str">
        <f t="shared" ref="K40:K41" si="0">MID(A45,3,LEN(A45)-2)</f>
        <v/>
      </c>
      <c r="L40" s="3299"/>
      <c r="M40" s="3299"/>
      <c r="N40" s="3300"/>
      <c r="O40" s="1390" t="str">
        <f>C45</f>
        <v>——</v>
      </c>
      <c r="P40" s="2027"/>
      <c r="V40" s="2027"/>
    </row>
    <row r="41" spans="1:26" ht="16.5" thickBot="1">
      <c r="A41" s="311" t="s">
        <v>356</v>
      </c>
      <c r="B41" s="312"/>
      <c r="C41" s="313" t="s">
        <v>357</v>
      </c>
      <c r="D41" s="314" t="s">
        <v>358</v>
      </c>
      <c r="E41" s="314" t="s">
        <v>359</v>
      </c>
      <c r="F41" s="315" t="s">
        <v>360</v>
      </c>
      <c r="G41" s="310"/>
      <c r="H41" s="310"/>
      <c r="I41" s="310"/>
      <c r="J41" s="2029"/>
      <c r="K41" s="3298" t="str">
        <f t="shared" si="0"/>
        <v/>
      </c>
      <c r="L41" s="3299"/>
      <c r="M41" s="3299"/>
      <c r="N41" s="3300"/>
      <c r="O41" s="1390" t="str">
        <f>C46</f>
        <v>——</v>
      </c>
      <c r="P41" s="2027"/>
      <c r="V41" s="2027"/>
    </row>
    <row r="42" spans="1:26" ht="29.25">
      <c r="A42" s="3358" t="s">
        <v>2069</v>
      </c>
      <c r="B42" s="3359"/>
      <c r="C42" s="263">
        <f ca="1">C32</f>
        <v>256572</v>
      </c>
      <c r="D42" s="316">
        <f ca="1">C33</f>
        <v>9330</v>
      </c>
      <c r="E42" s="316">
        <f ca="1">C34</f>
        <v>29558</v>
      </c>
      <c r="F42" s="317">
        <f ca="1">C35</f>
        <v>1971</v>
      </c>
      <c r="G42" s="310"/>
      <c r="H42" s="310"/>
      <c r="I42" s="318"/>
      <c r="J42" s="2029"/>
      <c r="K42" s="1269" t="s">
        <v>361</v>
      </c>
      <c r="L42" s="2046" t="s">
        <v>362</v>
      </c>
      <c r="M42" s="1270" t="s">
        <v>363</v>
      </c>
      <c r="N42" s="2047" t="s">
        <v>364</v>
      </c>
      <c r="O42" s="2048" t="s">
        <v>365</v>
      </c>
      <c r="P42" s="2027"/>
      <c r="V42" s="2027"/>
    </row>
    <row r="43" spans="1:26" ht="30">
      <c r="A43" s="3368" t="s">
        <v>2731</v>
      </c>
      <c r="B43" s="3369"/>
      <c r="C43" s="263">
        <f>IF(H33="正常操作",G33+G34+G35,G34+G35)</f>
        <v>0</v>
      </c>
      <c r="D43" s="316" t="s">
        <v>43</v>
      </c>
      <c r="E43" s="316" t="s">
        <v>44</v>
      </c>
      <c r="F43" s="317" t="s">
        <v>44</v>
      </c>
      <c r="G43" s="2865" t="s">
        <v>952</v>
      </c>
      <c r="H43" s="310"/>
      <c r="I43" s="318"/>
      <c r="J43" s="2029"/>
      <c r="K43" s="1271" t="str">
        <f>C4</f>
        <v>比较法-住宅、综合</v>
      </c>
      <c r="L43" s="1272">
        <f ca="1">IF(L42="估价结果/万元",C19,C20)</f>
        <v>282482</v>
      </c>
      <c r="M43" s="1273">
        <f>C18</f>
        <v>0.5</v>
      </c>
      <c r="N43" s="1274">
        <f ca="1">IF(N42="测算结果/万元",G19,G20)</f>
        <v>256572</v>
      </c>
      <c r="O43" s="1275">
        <f ca="1">IF(O42="最终结果/万元",C32,C33)</f>
        <v>256572</v>
      </c>
      <c r="P43" s="2027"/>
      <c r="V43" s="2027"/>
    </row>
    <row r="44" spans="1:26" ht="30.75" thickBot="1">
      <c r="A44" s="3358" t="str">
        <f>IF(OR(项目基本情况!E8="抵押价格",项目基本情况!E8="已注销及未注销"),"3.抵押价格","——")</f>
        <v>3.抵押价格</v>
      </c>
      <c r="B44" s="3359"/>
      <c r="C44" s="263">
        <f ca="1">IF(A44="——","——",C42-C43)</f>
        <v>256572</v>
      </c>
      <c r="D44" s="316">
        <f ca="1">ROUND(C44*10000/'数据-汇总表'!E3,0)</f>
        <v>9330</v>
      </c>
      <c r="E44" s="316">
        <f ca="1">ROUND(C44*10000/'数据-汇总表'!D3,0)</f>
        <v>29558</v>
      </c>
      <c r="F44" s="317">
        <f ca="1">ROUND(C44/('数据-汇总表'!D3/666.67),0)</f>
        <v>1971</v>
      </c>
      <c r="G44" s="310"/>
      <c r="H44" s="310"/>
      <c r="I44" s="318"/>
      <c r="J44" s="2029"/>
      <c r="K44" s="1276" t="str">
        <f>D4</f>
        <v>剩余法-待开发</v>
      </c>
      <c r="L44" s="1277">
        <f ca="1">IF(L42="估价结果/万元",D19,D20)</f>
        <v>230661</v>
      </c>
      <c r="M44" s="1278">
        <f>D18</f>
        <v>0.5</v>
      </c>
      <c r="N44" s="1279"/>
      <c r="O44" s="1280"/>
      <c r="P44" s="2027"/>
      <c r="V44" s="2027"/>
    </row>
    <row r="45" spans="1:26" ht="15">
      <c r="A45" s="3363" t="str">
        <f>IF(项目基本情况!E8="已注销及未注销","4.抵押担保权已注销时的抵押价格",IF(项目基本情况!E8="已注销","3.抵押担保权已注销时的抵押价格","——"))</f>
        <v>——</v>
      </c>
      <c r="B45" s="3364"/>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60" t="str">
        <f>IF(项目基本情况!E9="抵押净值",IF(A45="——","4.抵押净值","5.抵押净值"),"——")</f>
        <v>——</v>
      </c>
      <c r="B46" s="3361"/>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6" t="s">
        <v>374</v>
      </c>
      <c r="B63" s="3327"/>
      <c r="C63" s="3328"/>
      <c r="D63" s="340">
        <f ca="1">ROUND(C42*F63,0)</f>
        <v>153943</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365" t="s">
        <v>378</v>
      </c>
      <c r="B64" s="3366"/>
      <c r="C64" s="3366"/>
      <c r="D64" s="3366"/>
      <c r="E64" s="3366"/>
      <c r="F64" s="3366"/>
      <c r="G64" s="3367"/>
      <c r="H64" s="1286"/>
      <c r="I64" s="946"/>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2"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5.5">
      <c r="A66" s="3362" t="s">
        <v>386</v>
      </c>
      <c r="B66" s="3333"/>
      <c r="C66" s="3333"/>
      <c r="D66" s="260">
        <f ca="1">IF(H66="情况1",0,IF(H66="情况2",D70,IF(H66="情况3",D71,IF(H66="情况4",D72))))</f>
        <v>8064</v>
      </c>
      <c r="E66" s="991" t="str">
        <f>IF(H66="情况4","(销售额-原购置价)×税（费）率","销售额×税（费）率")</f>
        <v>销售额×税（费）率</v>
      </c>
      <c r="F66" s="349">
        <f>IF(H66="情况1","免征",'数据-取费表'!B41)</f>
        <v>5.5000000000000007E-2</v>
      </c>
      <c r="G66" s="350" t="s">
        <v>387</v>
      </c>
      <c r="H66" s="190" t="s">
        <v>388</v>
      </c>
      <c r="I66" s="1286"/>
      <c r="J66" s="2033"/>
      <c r="K66" s="1289">
        <v>1</v>
      </c>
      <c r="L66" s="3302" t="s">
        <v>385</v>
      </c>
      <c r="M66" s="3303"/>
      <c r="N66" s="2457"/>
      <c r="O66" s="2458"/>
      <c r="P66" s="2459"/>
      <c r="Q66" s="2027"/>
      <c r="R66" s="2027"/>
      <c r="S66" s="2027"/>
      <c r="T66" s="2027"/>
      <c r="U66" s="2027"/>
      <c r="V66" s="2027"/>
    </row>
    <row r="67" spans="1:22" ht="25.5" customHeight="1">
      <c r="A67" s="351" t="s">
        <v>390</v>
      </c>
      <c r="B67" s="3345" t="s">
        <v>391</v>
      </c>
      <c r="C67" s="3345"/>
      <c r="D67" s="352">
        <v>0</v>
      </c>
      <c r="E67" s="40" t="s">
        <v>392</v>
      </c>
      <c r="F67" s="61" t="s">
        <v>21</v>
      </c>
      <c r="G67" s="3329"/>
      <c r="H67" s="310"/>
      <c r="I67" s="1290"/>
      <c r="J67" s="2034"/>
      <c r="K67" s="1975">
        <v>2</v>
      </c>
      <c r="L67" s="3301" t="s">
        <v>389</v>
      </c>
      <c r="M67" s="3301"/>
      <c r="N67" s="1323">
        <f>'数据-取费表'!B2</f>
        <v>43314</v>
      </c>
      <c r="O67" s="1323"/>
      <c r="P67" s="1323"/>
      <c r="Q67" s="2027"/>
      <c r="R67" s="2027"/>
      <c r="S67" s="2027"/>
      <c r="T67" s="2027"/>
      <c r="U67" s="2027"/>
      <c r="V67" s="2027"/>
    </row>
    <row r="68" spans="1:22" ht="25.5" customHeight="1">
      <c r="A68" s="353"/>
      <c r="B68" s="3345" t="s">
        <v>394</v>
      </c>
      <c r="C68" s="3345"/>
      <c r="D68" s="354"/>
      <c r="E68" s="76"/>
      <c r="F68" s="355"/>
      <c r="G68" s="3330"/>
      <c r="H68" s="310"/>
      <c r="I68" s="1290"/>
      <c r="J68" s="2034"/>
      <c r="K68" s="1975">
        <v>3</v>
      </c>
      <c r="L68" s="3301" t="s">
        <v>393</v>
      </c>
      <c r="M68" s="3301"/>
      <c r="N68" s="1291">
        <f ca="1">C42</f>
        <v>256572</v>
      </c>
      <c r="O68" s="1291"/>
      <c r="P68" s="1291"/>
      <c r="Q68" s="2027"/>
      <c r="R68" s="2027"/>
      <c r="S68" s="2027"/>
      <c r="T68" s="2027"/>
      <c r="U68" s="2027"/>
      <c r="V68" s="2027"/>
    </row>
    <row r="69" spans="1:22" ht="12" customHeight="1">
      <c r="A69" s="356"/>
      <c r="B69" s="3345" t="s">
        <v>395</v>
      </c>
      <c r="C69" s="3345"/>
      <c r="D69" s="357"/>
      <c r="E69" s="72"/>
      <c r="F69" s="355"/>
      <c r="G69" s="3331"/>
      <c r="H69" s="310"/>
      <c r="I69" s="1290"/>
      <c r="J69" s="2034"/>
      <c r="K69" s="1292">
        <v>4</v>
      </c>
      <c r="L69" s="3307" t="s">
        <v>2884</v>
      </c>
      <c r="M69" s="3308"/>
      <c r="N69" s="1293">
        <f ca="1">C44</f>
        <v>256572</v>
      </c>
      <c r="O69" s="1293"/>
      <c r="P69" s="1293"/>
      <c r="Q69" s="2027"/>
      <c r="R69" s="2027"/>
      <c r="S69" s="2027"/>
      <c r="T69" s="2027"/>
      <c r="U69" s="2027"/>
      <c r="V69" s="2027"/>
    </row>
    <row r="70" spans="1:22" ht="24" customHeight="1">
      <c r="A70" s="358" t="s">
        <v>396</v>
      </c>
      <c r="B70" s="3345" t="s">
        <v>397</v>
      </c>
      <c r="C70" s="3345"/>
      <c r="D70" s="357">
        <f ca="1">ROUND(D63*'数据-取费表'!B41/(1+'数据-取费表'!C42),0)</f>
        <v>8064</v>
      </c>
      <c r="E70" s="17" t="s">
        <v>398</v>
      </c>
      <c r="F70" s="359">
        <f>'数据-取费表'!B41</f>
        <v>5.5000000000000007E-2</v>
      </c>
      <c r="G70" s="360"/>
      <c r="H70" s="310"/>
      <c r="I70" s="1290"/>
      <c r="J70" s="2034"/>
      <c r="K70" s="3060"/>
      <c r="L70" s="3061"/>
      <c r="M70" s="3061"/>
      <c r="N70" s="3062" t="s">
        <v>2889</v>
      </c>
      <c r="O70" s="3061"/>
      <c r="P70" s="3063"/>
      <c r="Q70" s="2027"/>
      <c r="R70" s="2027"/>
      <c r="S70" s="2027"/>
      <c r="T70" s="2027"/>
      <c r="U70" s="2027"/>
      <c r="V70" s="2027"/>
    </row>
    <row r="71" spans="1:22" ht="12" customHeight="1">
      <c r="A71" s="358" t="s">
        <v>404</v>
      </c>
      <c r="B71" s="3344" t="s">
        <v>405</v>
      </c>
      <c r="C71" s="3356"/>
      <c r="D71" s="357">
        <f ca="1">ROUND(D63*'数据-取费表'!B41/(1+'数据-取费表'!C42),0)</f>
        <v>8064</v>
      </c>
      <c r="E71" s="17" t="s">
        <v>398</v>
      </c>
      <c r="F71" s="359">
        <f>'数据-取费表'!B41</f>
        <v>5.5000000000000007E-2</v>
      </c>
      <c r="G71" s="360"/>
      <c r="H71" s="310"/>
      <c r="I71" s="1290"/>
      <c r="J71" s="2034"/>
      <c r="K71" s="3059" t="s">
        <v>399</v>
      </c>
      <c r="L71" s="3309" t="s">
        <v>400</v>
      </c>
      <c r="M71" s="3309"/>
      <c r="N71" s="3059" t="s">
        <v>401</v>
      </c>
      <c r="O71" s="3059" t="s">
        <v>402</v>
      </c>
      <c r="P71" s="3059" t="s">
        <v>403</v>
      </c>
      <c r="Q71" s="2027"/>
      <c r="R71" s="2027"/>
      <c r="S71" s="2027"/>
      <c r="T71" s="2027"/>
      <c r="U71" s="2027"/>
      <c r="V71" s="2027"/>
    </row>
    <row r="72" spans="1:22" ht="12" customHeight="1">
      <c r="A72" s="358" t="s">
        <v>407</v>
      </c>
      <c r="B72" s="3344" t="s">
        <v>408</v>
      </c>
      <c r="C72" s="3356"/>
      <c r="D72" s="357">
        <f ca="1">C86</f>
        <v>7954</v>
      </c>
      <c r="E72" s="72" t="s">
        <v>409</v>
      </c>
      <c r="F72" s="359">
        <f>'数据-取费表'!B41</f>
        <v>5.5000000000000007E-2</v>
      </c>
      <c r="G72" s="360"/>
      <c r="H72" s="1296"/>
      <c r="I72" s="1290"/>
      <c r="J72" s="2034"/>
      <c r="K72" s="1975">
        <v>1</v>
      </c>
      <c r="L72" s="3306" t="s">
        <v>406</v>
      </c>
      <c r="M72" s="3306"/>
      <c r="N72" s="1294">
        <f ca="1">D66</f>
        <v>8064</v>
      </c>
      <c r="O72" s="1858" t="str">
        <f>E66</f>
        <v>销售额×税（费）率</v>
      </c>
      <c r="P72" s="1295">
        <f>F66</f>
        <v>5.5000000000000007E-2</v>
      </c>
      <c r="Q72" s="2027"/>
      <c r="R72" s="2027"/>
      <c r="S72" s="2027"/>
      <c r="T72" s="2027"/>
      <c r="U72" s="2027"/>
      <c r="V72" s="2027"/>
    </row>
    <row r="73" spans="1:22" ht="24" customHeight="1">
      <c r="A73" s="3332" t="s">
        <v>411</v>
      </c>
      <c r="B73" s="3333"/>
      <c r="C73" s="3333"/>
      <c r="D73" s="361">
        <f>IF(H73="个人住宅",0,ROUND(D63*I73,0))</f>
        <v>0</v>
      </c>
      <c r="E73" s="17" t="s">
        <v>412</v>
      </c>
      <c r="F73" s="359" t="str">
        <f>IF(H73="正常",I73,"免征")</f>
        <v>免征</v>
      </c>
      <c r="G73" s="360"/>
      <c r="H73" s="190" t="s">
        <v>2456</v>
      </c>
      <c r="I73" s="359">
        <f>'数据-取费表'!B49</f>
        <v>5.0000000000000001E-4</v>
      </c>
      <c r="J73" s="2034"/>
      <c r="K73" s="1975">
        <v>2</v>
      </c>
      <c r="L73" s="3306" t="s">
        <v>410</v>
      </c>
      <c r="M73" s="3306"/>
      <c r="N73" s="1294">
        <f t="shared" ref="N73:P74" si="1">D73</f>
        <v>0</v>
      </c>
      <c r="O73" s="1858" t="str">
        <f t="shared" si="1"/>
        <v>销售额×税（费）率</v>
      </c>
      <c r="P73" s="1295" t="str">
        <f t="shared" si="1"/>
        <v>免征</v>
      </c>
      <c r="Q73" s="2027"/>
      <c r="R73" s="2027"/>
      <c r="S73" s="2027"/>
      <c r="T73" s="2027"/>
      <c r="U73" s="2027"/>
      <c r="V73" s="2027"/>
    </row>
    <row r="74" spans="1:22" ht="24.75">
      <c r="A74" s="3332" t="s">
        <v>415</v>
      </c>
      <c r="B74" s="3333"/>
      <c r="C74" s="3333"/>
      <c r="D74" s="361">
        <f ca="1">IF(H74="个人住宅",D75,D76)</f>
        <v>86615</v>
      </c>
      <c r="E74" s="17" t="s">
        <v>416</v>
      </c>
      <c r="F74" s="359" t="str">
        <f>IF(H74="正常",F76,"免征")</f>
        <v>——</v>
      </c>
      <c r="G74" s="981" t="s">
        <v>417</v>
      </c>
      <c r="H74" s="362" t="s">
        <v>413</v>
      </c>
      <c r="I74" s="41"/>
      <c r="J74" s="2034"/>
      <c r="K74" s="1975">
        <v>3</v>
      </c>
      <c r="L74" s="3306" t="s">
        <v>414</v>
      </c>
      <c r="M74" s="3306"/>
      <c r="N74" s="1294">
        <f t="shared" ca="1" si="1"/>
        <v>86615</v>
      </c>
      <c r="O74" s="1858" t="str">
        <f t="shared" si="1"/>
        <v>增值额×税（费）率</v>
      </c>
      <c r="P74" s="1297" t="str">
        <f t="shared" si="1"/>
        <v>——</v>
      </c>
      <c r="Q74" s="2027"/>
      <c r="R74" s="2027"/>
      <c r="S74" s="2027"/>
      <c r="T74" s="2027"/>
      <c r="U74" s="2027"/>
      <c r="V74" s="2027"/>
    </row>
    <row r="75" spans="1:22" ht="24">
      <c r="A75" s="358" t="s">
        <v>418</v>
      </c>
      <c r="B75" s="3313" t="s">
        <v>419</v>
      </c>
      <c r="C75" s="3314"/>
      <c r="D75" s="363">
        <v>0</v>
      </c>
      <c r="E75" s="40" t="s">
        <v>420</v>
      </c>
      <c r="F75" s="364"/>
      <c r="G75" s="360"/>
      <c r="H75" s="41"/>
      <c r="I75" s="41"/>
      <c r="J75" s="2034"/>
      <c r="K75" s="3052">
        <f>IF(H77="非个人房产","",4)</f>
        <v>4</v>
      </c>
      <c r="L75" s="3306" t="str">
        <f>IF(H77="非个人房产","——","个人所得税")</f>
        <v>个人所得税</v>
      </c>
      <c r="M75" s="3306"/>
      <c r="N75" s="1298">
        <f ca="1">D77</f>
        <v>1539</v>
      </c>
      <c r="O75" s="1871" t="str">
        <f>E77</f>
        <v>销售额×税（费）率</v>
      </c>
      <c r="P75" s="1299">
        <f>F77</f>
        <v>0.01</v>
      </c>
      <c r="Q75" s="2027"/>
      <c r="R75" s="2027"/>
      <c r="S75" s="2027"/>
      <c r="T75" s="2027"/>
      <c r="U75" s="2027"/>
      <c r="V75" s="2027"/>
    </row>
    <row r="76" spans="1:22" ht="24.75">
      <c r="A76" s="358" t="s">
        <v>396</v>
      </c>
      <c r="B76" s="3313" t="s">
        <v>422</v>
      </c>
      <c r="C76" s="3355"/>
      <c r="D76" s="361">
        <f ca="1">IF(H76="转让取得",C99,C115)</f>
        <v>86615</v>
      </c>
      <c r="E76" s="17" t="s">
        <v>423</v>
      </c>
      <c r="F76" s="52" t="s">
        <v>21</v>
      </c>
      <c r="G76" s="360"/>
      <c r="H76" s="362" t="s">
        <v>424</v>
      </c>
      <c r="I76" s="41"/>
      <c r="J76" s="2034"/>
      <c r="K76" s="3052" t="str">
        <f>IF(项目基本情况!K6="上海银行",IF(K75="",4,K75+1),"")</f>
        <v/>
      </c>
      <c r="L76" s="3294" t="str">
        <f>IF(项目基本情况!K6="上海银行","其他处置费用","")</f>
        <v/>
      </c>
      <c r="M76" s="3295"/>
      <c r="N76" s="1294" t="str">
        <f>IF(项目基本情况!K6="上海银行",N89,"")</f>
        <v/>
      </c>
      <c r="O76" s="3296" t="str">
        <f>IF(项目基本情况!K6="上海银行","包含处置中涉及的律师、诉讼、拍卖、评估等费用","")</f>
        <v/>
      </c>
      <c r="P76" s="3297"/>
      <c r="Q76" s="2027"/>
      <c r="R76" s="2027"/>
      <c r="S76" s="2027"/>
      <c r="T76" s="2027"/>
      <c r="U76" s="2027"/>
      <c r="V76" s="2027"/>
    </row>
    <row r="77" spans="1:22" ht="26.25" thickBot="1">
      <c r="A77" s="3324" t="s">
        <v>426</v>
      </c>
      <c r="B77" s="3325"/>
      <c r="C77" s="3325"/>
      <c r="D77" s="365">
        <f ca="1">IF(H77="非个人房产","——",IF(H77="个人住宅",0,ROUND(D63*I77,0)))</f>
        <v>1539</v>
      </c>
      <c r="E77" s="366" t="str">
        <f>IF(H77="非个人房产","——","销售额×税（费）率")</f>
        <v>销售额×税（费）率</v>
      </c>
      <c r="F77" s="367">
        <f>IF(H77="非个人房产","——",IF(H77="个人住宅","免征",I77))</f>
        <v>0.01</v>
      </c>
      <c r="G77" s="982" t="s">
        <v>417</v>
      </c>
      <c r="H77" s="362" t="s">
        <v>2885</v>
      </c>
      <c r="I77" s="368">
        <v>0.01</v>
      </c>
      <c r="J77" s="2034"/>
      <c r="K77" s="3320">
        <f>IF(AND(K75="",K76=""),4,IF(项目基本情况!K6="上海银行",K76+1,K75+1))</f>
        <v>5</v>
      </c>
      <c r="L77" s="3306" t="s">
        <v>2886</v>
      </c>
      <c r="M77" s="3058" t="s">
        <v>421</v>
      </c>
      <c r="N77" s="1300"/>
      <c r="O77" s="1301">
        <f ca="1">SUMIF(N72:N76,"&lt;9e307")</f>
        <v>96218</v>
      </c>
      <c r="P77" s="1302"/>
      <c r="Q77" s="3056">
        <f ca="1">O77/N69</f>
        <v>0.37501364139500803</v>
      </c>
      <c r="R77" s="2027"/>
      <c r="S77" s="2027"/>
      <c r="T77" s="2027"/>
      <c r="U77" s="2027"/>
      <c r="V77" s="2027"/>
    </row>
    <row r="78" spans="1:22" ht="12" customHeight="1">
      <c r="A78" s="1303"/>
      <c r="B78" s="310"/>
      <c r="C78" s="310"/>
      <c r="D78" s="310"/>
      <c r="E78" s="41"/>
      <c r="F78" s="41"/>
      <c r="G78" s="41"/>
      <c r="H78" s="1001"/>
      <c r="I78" s="310"/>
      <c r="J78" s="2034"/>
      <c r="K78" s="3320"/>
      <c r="L78" s="3306"/>
      <c r="M78" s="3058" t="s">
        <v>425</v>
      </c>
      <c r="N78" s="1300"/>
      <c r="O78" s="1301" t="str">
        <f ca="1">NUMBERSTRING(INT(O77*10000),2)&amp;"元整"</f>
        <v>玖亿陆仟贰佰壹拾捌万元整</v>
      </c>
      <c r="P78" s="1302"/>
      <c r="Q78" s="2027"/>
      <c r="R78" s="2027"/>
      <c r="S78" s="2027"/>
      <c r="T78" s="2027"/>
      <c r="U78" s="2027"/>
      <c r="V78" s="2027"/>
    </row>
    <row r="79" spans="1:22" ht="13.5" thickBot="1">
      <c r="A79" s="3310" t="s">
        <v>427</v>
      </c>
      <c r="B79" s="3310"/>
      <c r="C79" s="3310"/>
      <c r="D79" s="3310"/>
      <c r="E79" s="3310"/>
      <c r="F79" s="41"/>
      <c r="G79" s="41"/>
      <c r="H79" s="1001"/>
      <c r="I79" s="310"/>
      <c r="J79" s="2034"/>
      <c r="K79" s="3304">
        <f>K77+1</f>
        <v>6</v>
      </c>
      <c r="L79" s="3306" t="s">
        <v>2887</v>
      </c>
      <c r="M79" s="3058" t="s">
        <v>421</v>
      </c>
      <c r="N79" s="1300"/>
      <c r="O79" s="1301">
        <f ca="1">N69-O77</f>
        <v>160354</v>
      </c>
      <c r="P79" s="1302"/>
      <c r="Q79" s="2027"/>
      <c r="R79" s="2027"/>
      <c r="S79" s="2027"/>
      <c r="T79" s="2027"/>
      <c r="U79" s="2027"/>
      <c r="V79" s="2027"/>
    </row>
    <row r="80" spans="1:22" ht="25.5">
      <c r="A80" s="3311" t="s">
        <v>428</v>
      </c>
      <c r="B80" s="3312"/>
      <c r="C80" s="992"/>
      <c r="D80" s="992" t="s">
        <v>429</v>
      </c>
      <c r="E80" s="369" t="s">
        <v>430</v>
      </c>
      <c r="F80" s="41"/>
      <c r="G80" s="41"/>
      <c r="H80" s="1001"/>
      <c r="I80" s="310"/>
      <c r="J80" s="2027"/>
      <c r="K80" s="3305"/>
      <c r="L80" s="3306"/>
      <c r="M80" s="3058" t="s">
        <v>425</v>
      </c>
      <c r="N80" s="1300"/>
      <c r="O80" s="1301" t="str">
        <f ca="1">NUMBERSTRING(INT(O79*10000),2)&amp;"元整"</f>
        <v>壹拾陆亿零叁佰伍拾肆万元整</v>
      </c>
      <c r="P80" s="1302"/>
      <c r="Q80" s="2027"/>
      <c r="R80" s="2027"/>
      <c r="S80" s="2027"/>
      <c r="T80" s="2027"/>
      <c r="U80" s="2027"/>
      <c r="V80" s="2027"/>
    </row>
    <row r="81" spans="1:26" ht="13.5" thickBot="1">
      <c r="A81" s="380" t="s">
        <v>1824</v>
      </c>
      <c r="B81" s="370" t="s">
        <v>431</v>
      </c>
      <c r="C81" s="371">
        <f ca="1">ROUND((C82+C83)/(1+'数据-取费表'!C42),0)</f>
        <v>146612</v>
      </c>
      <c r="D81" s="372"/>
      <c r="E81" s="373"/>
      <c r="F81" s="41"/>
      <c r="G81" s="41"/>
      <c r="H81" s="1001"/>
      <c r="I81" s="310"/>
      <c r="J81" s="2027"/>
      <c r="K81" s="3052">
        <f>K79+1</f>
        <v>7</v>
      </c>
      <c r="L81" s="3318" t="s">
        <v>2888</v>
      </c>
      <c r="M81" s="3319"/>
      <c r="N81" s="1304"/>
      <c r="O81" s="1305">
        <f ca="1">ROUND(O79*10000/'数据-汇总表'!E3,0)</f>
        <v>5831</v>
      </c>
      <c r="P81" s="1306"/>
      <c r="Q81" s="2027"/>
      <c r="R81" s="2027"/>
      <c r="S81" s="2027"/>
      <c r="T81" s="2027"/>
      <c r="U81" s="2027"/>
      <c r="V81" s="2027"/>
    </row>
    <row r="82" spans="1:26" ht="13.5" thickTop="1">
      <c r="A82" s="374" t="s">
        <v>1825</v>
      </c>
      <c r="B82" s="375" t="s">
        <v>432</v>
      </c>
      <c r="C82" s="376">
        <f ca="1">D63</f>
        <v>153943</v>
      </c>
      <c r="D82" s="377" t="s">
        <v>19</v>
      </c>
      <c r="E82" s="378"/>
      <c r="F82" s="41"/>
      <c r="G82" s="41"/>
      <c r="H82" s="1001"/>
      <c r="I82" s="310"/>
      <c r="J82" s="2027"/>
      <c r="K82" s="2027"/>
      <c r="L82" s="2027"/>
      <c r="M82" s="2027"/>
      <c r="N82" s="2027"/>
      <c r="O82" s="2027"/>
      <c r="P82" s="2027"/>
      <c r="Q82" s="2027"/>
      <c r="R82" s="2027"/>
      <c r="S82" s="2027"/>
      <c r="T82" s="2027"/>
      <c r="U82" s="2027"/>
      <c r="V82" s="2027"/>
    </row>
    <row r="83" spans="1:26" ht="12.75">
      <c r="A83" s="374" t="s">
        <v>1826</v>
      </c>
      <c r="B83" s="375" t="s">
        <v>433</v>
      </c>
      <c r="C83" s="379">
        <v>0</v>
      </c>
      <c r="D83" s="377"/>
      <c r="E83" s="378"/>
      <c r="F83" s="41"/>
      <c r="G83" s="41"/>
      <c r="H83" s="1001"/>
      <c r="I83" s="310"/>
      <c r="J83" s="2027"/>
      <c r="K83" s="3293" t="s">
        <v>2875</v>
      </c>
      <c r="L83" s="3064" t="s">
        <v>2876</v>
      </c>
      <c r="M83" s="3054">
        <f ca="1">IF(N69&gt;10000,N69*0.5%,IF(AND(N69&gt;1000,N69&lt;=10000),N69*1%,IF(AND(N69&gt;100,N69&lt;=1000),N69*3%,IF(AND(N69&gt;10,N69&lt;=100),N69*5%,N69*8%))))</f>
        <v>1282.8600000000001</v>
      </c>
      <c r="N83" s="52">
        <f ca="1">ROUND(M83,1)</f>
        <v>1282.9000000000001</v>
      </c>
      <c r="O83" s="3057"/>
      <c r="P83" s="2027"/>
      <c r="Q83" s="2027"/>
      <c r="R83" s="2027"/>
      <c r="S83" s="2027"/>
      <c r="T83" s="2027"/>
      <c r="U83" s="2027"/>
      <c r="V83" s="2027"/>
    </row>
    <row r="84" spans="1:26" ht="12.75">
      <c r="A84" s="380" t="s">
        <v>1827</v>
      </c>
      <c r="B84" s="381" t="s">
        <v>434</v>
      </c>
      <c r="C84" s="382">
        <v>2000</v>
      </c>
      <c r="D84" s="383" t="s">
        <v>19</v>
      </c>
      <c r="E84" s="3098" t="s">
        <v>2938</v>
      </c>
      <c r="F84" s="41"/>
      <c r="G84" s="41"/>
      <c r="H84" s="1001"/>
      <c r="I84" s="310"/>
      <c r="J84" s="2027"/>
      <c r="K84" s="3293"/>
      <c r="L84" s="3064" t="s">
        <v>2877</v>
      </c>
      <c r="M84" s="3054">
        <f ca="1">IF(N69&gt;2000,N69*0.5%,IF(AND(N69&gt;1000,N69&lt;=2000),N69*0.6%,IF(AND(N69&gt;500,N69&lt;=1000),N69*0.7%,IF(AND(N69&gt;200,N69&lt;=500),N69*0.8%,IF(AND(N69&gt;100,N69&lt;=200),N69*0.9%,IF(AND(N69&gt;50,N69&lt;=100),N69*1%,IF(AND(N69&gt;20,N69&lt;=50),N69*1.5%,IF(AND(N69&gt;10,N69&lt;=20),N69*2%,IF(AND(N69&gt;1,N69&lt;=10),N69*2.5%)))))))))</f>
        <v>1282.8600000000001</v>
      </c>
      <c r="N84" s="52">
        <f t="shared" ref="N84:N85" ca="1" si="2">ROUND(M84,1)</f>
        <v>1282.9000000000001</v>
      </c>
      <c r="O84" s="2027" t="s">
        <v>2878</v>
      </c>
      <c r="P84" s="2027"/>
      <c r="Q84" s="2027"/>
      <c r="R84" s="2027"/>
      <c r="S84" s="2027"/>
      <c r="T84" s="2027"/>
      <c r="U84" s="2027"/>
      <c r="V84" s="2027"/>
    </row>
    <row r="85" spans="1:26" ht="12.75">
      <c r="A85" s="380" t="s">
        <v>1828</v>
      </c>
      <c r="B85" s="381" t="s">
        <v>435</v>
      </c>
      <c r="C85" s="384">
        <f ca="1">C81-C84</f>
        <v>144612</v>
      </c>
      <c r="D85" s="377" t="s">
        <v>19</v>
      </c>
      <c r="E85" s="378"/>
      <c r="F85" s="41"/>
      <c r="G85" s="41"/>
      <c r="H85" s="1001"/>
      <c r="I85" s="310"/>
      <c r="J85" s="2027"/>
      <c r="K85" s="3293"/>
      <c r="L85" s="3064" t="s">
        <v>2879</v>
      </c>
      <c r="M85" s="3054">
        <f ca="1">IF(N69&gt;1000,N69*0.1%,IF(AND(N69&gt;500,N69&lt;=1000),N69*0.5%,IF(AND(N69&gt;50,N69&lt;=500),N69*1%,IF(AND(N69&gt;1,N69&lt;=50),N69*1.5%))))</f>
        <v>256.572</v>
      </c>
      <c r="N85" s="52">
        <f t="shared" ca="1" si="2"/>
        <v>256.60000000000002</v>
      </c>
      <c r="O85" s="2027" t="s">
        <v>2878</v>
      </c>
      <c r="P85" s="2027"/>
      <c r="Q85" s="2027"/>
      <c r="R85" s="2027"/>
      <c r="S85" s="2027"/>
      <c r="T85" s="2027"/>
      <c r="U85" s="2027"/>
      <c r="V85" s="2027"/>
    </row>
    <row r="86" spans="1:26" ht="13.5" thickBot="1">
      <c r="A86" s="385" t="s">
        <v>1829</v>
      </c>
      <c r="B86" s="386" t="s">
        <v>436</v>
      </c>
      <c r="C86" s="387">
        <f ca="1">IF(C85&lt;=0,0,ROUND(C85*D86,0))</f>
        <v>7954</v>
      </c>
      <c r="D86" s="388">
        <f>'数据-取费表'!B41</f>
        <v>5.5000000000000007E-2</v>
      </c>
      <c r="E86" s="389"/>
      <c r="F86" s="41"/>
      <c r="G86" s="41"/>
      <c r="H86" s="1001"/>
      <c r="I86" s="310"/>
      <c r="J86" s="2027"/>
      <c r="K86" s="3293"/>
      <c r="L86" s="3064" t="s">
        <v>2880</v>
      </c>
      <c r="M86" s="3054">
        <f ca="1">N69*0.5%</f>
        <v>1282.8600000000001</v>
      </c>
      <c r="N86" s="52">
        <f ca="1">IF(M86&gt;0.5,0.5,ROUND(M86,0))</f>
        <v>0.5</v>
      </c>
      <c r="O86" s="2027" t="s">
        <v>2881</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293"/>
      <c r="L87" s="3064" t="s">
        <v>2882</v>
      </c>
      <c r="M87" s="3054">
        <f ca="1">IF(N69&gt;=10000,(8.25+(N69-10000)*0.01%),IF(AND(N69&gt;=8000,N69&lt;10000),(7.85+(N69-8000)*0.02%),IF(AND(N69&gt;=5000,N69&lt;8000),(6.65+(N69-5000)*0.04%),IF(AND(N69&gt;=2000,N69&lt;5000),(4.25+(PN69-2000)*0.08%),IF(AND(N69&gt;=1000,N69&lt;2000),(2.75+(N69-1000)*0.15%),IF(AND(N69&gt;=100,N69&lt;1000),(0.5+(N69-100)*0.25%),IF(AND(N69&gt;0,N69&lt;100),N69*0.5%)))))))</f>
        <v>32.907200000000003</v>
      </c>
      <c r="N87" s="52">
        <f ca="1">ROUND(M87*0.9,1)</f>
        <v>29.6</v>
      </c>
      <c r="O87" s="3057"/>
      <c r="P87" s="310"/>
      <c r="Q87" s="2027"/>
      <c r="R87" s="2027"/>
      <c r="S87" s="2027"/>
      <c r="T87" s="2027"/>
      <c r="U87" s="2027"/>
      <c r="V87" s="2027"/>
      <c r="W87" s="291"/>
      <c r="X87" s="291"/>
      <c r="Y87" s="291"/>
      <c r="Z87" s="291"/>
    </row>
    <row r="88" spans="1:26" s="1312" customFormat="1" ht="15" thickBot="1">
      <c r="A88" s="3347" t="s">
        <v>437</v>
      </c>
      <c r="B88" s="3348"/>
      <c r="C88" s="3348"/>
      <c r="D88" s="3348"/>
      <c r="E88" s="3348"/>
      <c r="F88" s="3348"/>
      <c r="G88" s="3348"/>
      <c r="H88" s="3348"/>
      <c r="I88" s="1313"/>
      <c r="J88" s="2035"/>
      <c r="K88" s="3293"/>
      <c r="L88" s="3064" t="s">
        <v>2883</v>
      </c>
      <c r="M88" s="3054">
        <f ca="1">IF(N69&gt;10000,N69*0.5%,IF(AND(N69&gt;5000,N69&lt;=10000),N69*1%,IF(AND(N69&gt;1000,N69&lt;=5000),N69*2%,IF(AND(N69&gt;200,N69&lt;=1000),N69*3%,N69*5%))))</f>
        <v>1282.8600000000001</v>
      </c>
      <c r="N88" s="52">
        <f ca="1">ROUND(M88,1)</f>
        <v>1282.9000000000001</v>
      </c>
      <c r="O88" s="3057"/>
      <c r="P88" s="11"/>
      <c r="Q88" s="2032"/>
      <c r="R88" s="2032"/>
      <c r="S88" s="2032"/>
      <c r="T88" s="2032"/>
      <c r="U88" s="2032"/>
      <c r="V88" s="2032"/>
      <c r="W88" s="2036"/>
      <c r="X88" s="2036"/>
      <c r="Y88" s="2036"/>
      <c r="Z88" s="2036"/>
    </row>
    <row r="89" spans="1:26" s="1312" customFormat="1" ht="14.25">
      <c r="A89" s="3311" t="s">
        <v>428</v>
      </c>
      <c r="B89" s="3312"/>
      <c r="C89" s="992"/>
      <c r="D89" s="992" t="s">
        <v>429</v>
      </c>
      <c r="E89" s="390" t="s">
        <v>438</v>
      </c>
      <c r="F89" s="391"/>
      <c r="G89" s="391"/>
      <c r="H89" s="392"/>
      <c r="I89" s="1314"/>
      <c r="J89" s="2037"/>
      <c r="K89" s="3293"/>
      <c r="L89" s="3064" t="s">
        <v>27</v>
      </c>
      <c r="M89" s="3055"/>
      <c r="N89" s="52">
        <f ca="1">ROUND(SUM(N83:N88),0)</f>
        <v>4135</v>
      </c>
      <c r="O89" s="3065">
        <f ca="1">N89/N69</f>
        <v>1.611633381662847E-2</v>
      </c>
      <c r="P89" s="2032"/>
      <c r="Q89" s="2032"/>
      <c r="R89" s="2032"/>
      <c r="S89" s="2032"/>
      <c r="T89" s="2032"/>
      <c r="U89" s="2032"/>
      <c r="V89" s="2032"/>
      <c r="W89" s="2036"/>
      <c r="X89" s="2036"/>
      <c r="Y89" s="2036"/>
      <c r="Z89" s="2036"/>
    </row>
    <row r="90" spans="1:26" s="1312" customFormat="1" ht="14.25">
      <c r="A90" s="380" t="s">
        <v>1824</v>
      </c>
      <c r="B90" s="381" t="s">
        <v>439</v>
      </c>
      <c r="C90" s="384">
        <f ca="1">ROUND(D63/(1+'数据-取费表'!C42),0)</f>
        <v>146612</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1830</v>
      </c>
      <c r="B91" s="347" t="s">
        <v>440</v>
      </c>
      <c r="C91" s="384">
        <f ca="1">C92+C96</f>
        <v>3294</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1833</v>
      </c>
      <c r="B94" s="399" t="s">
        <v>446</v>
      </c>
      <c r="C94" s="377">
        <f>IF(F93="购房发票",ROUND(C93*H93*5%,0),0)</f>
        <v>500</v>
      </c>
      <c r="D94" s="400">
        <v>0.05</v>
      </c>
      <c r="E94" s="3344" t="s">
        <v>447</v>
      </c>
      <c r="F94" s="3345"/>
      <c r="G94" s="3345"/>
      <c r="H94" s="3346"/>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5" t="s">
        <v>449</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1835</v>
      </c>
      <c r="B96" s="375" t="s">
        <v>450</v>
      </c>
      <c r="C96" s="404">
        <f ca="1">ROUND(D63*D96/(1+'数据-取费表'!C42),0)</f>
        <v>733</v>
      </c>
      <c r="D96" s="405">
        <f>'数据-取费表'!B43</f>
        <v>5.000000000000001E-3</v>
      </c>
      <c r="E96" s="3334" t="s">
        <v>2429</v>
      </c>
      <c r="F96" s="3335"/>
      <c r="G96" s="3335"/>
      <c r="H96" s="3336"/>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1836</v>
      </c>
      <c r="B97" s="381" t="s">
        <v>451</v>
      </c>
      <c r="C97" s="384">
        <f ca="1">C90-C91</f>
        <v>143318</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1837</v>
      </c>
      <c r="B98" s="381" t="s">
        <v>452</v>
      </c>
      <c r="C98" s="406">
        <f ca="1">IF(C97&lt;=0,0,C97/C91)</f>
        <v>43.508803885853069</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1838</v>
      </c>
      <c r="B99" s="386" t="s">
        <v>453</v>
      </c>
      <c r="C99" s="407">
        <f ca="1">ROUND(IF(C97&lt;=0,0,IF(C98&gt;=200%,C97*60%-C91*35%,IF(C98&gt;=100%,C97*50%-C91*15%,IF(C98&gt;=50%,C97*40%-C91*5%,IF(C98&lt;50%,C97*30%,0))))),0)</f>
        <v>84838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47" t="s">
        <v>454</v>
      </c>
      <c r="B101" s="3348"/>
      <c r="C101" s="3348"/>
      <c r="D101" s="3348"/>
      <c r="E101" s="3348"/>
      <c r="F101" s="3348"/>
      <c r="G101" s="3348"/>
      <c r="H101" s="3348"/>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11" t="s">
        <v>428</v>
      </c>
      <c r="B102" s="3312"/>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1824</v>
      </c>
      <c r="B103" s="381" t="s">
        <v>439</v>
      </c>
      <c r="C103" s="384">
        <f ca="1">ROUND(D63/(1+'数据-取费表'!C42),0)</f>
        <v>146612</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1830</v>
      </c>
      <c r="B104" s="347" t="s">
        <v>440</v>
      </c>
      <c r="C104" s="384">
        <f ca="1">IF(H106="仅含出让金",C105+C108+C109+C110+C111+C112,C105+C109+C110+C111+C112)</f>
        <v>1423</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1831</v>
      </c>
      <c r="B105" s="375" t="s">
        <v>455</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1832</v>
      </c>
      <c r="B106" s="375" t="s">
        <v>456</v>
      </c>
      <c r="C106" s="415">
        <v>555</v>
      </c>
      <c r="D106" s="405"/>
      <c r="E106" s="416" t="s">
        <v>457</v>
      </c>
      <c r="F106" s="984"/>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1839</v>
      </c>
      <c r="B109" s="375" t="s">
        <v>461</v>
      </c>
      <c r="C109" s="404">
        <f>IF(H109="——",IF(F1="现房",'剩余法-现房'!C18,'剩余法-待开发'!C18),I109)</f>
        <v>55</v>
      </c>
      <c r="D109" s="405"/>
      <c r="E109" s="3337" t="s">
        <v>462</v>
      </c>
      <c r="F109" s="3335"/>
      <c r="G109" s="3335"/>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1840</v>
      </c>
      <c r="B110" s="375" t="s">
        <v>463</v>
      </c>
      <c r="C110" s="404">
        <f>ROUND((C105+C108+C109)*D110,0)</f>
        <v>63</v>
      </c>
      <c r="D110" s="405">
        <v>0.1</v>
      </c>
      <c r="E110" s="3337" t="s">
        <v>464</v>
      </c>
      <c r="F110" s="3335"/>
      <c r="G110" s="3335"/>
      <c r="H110" s="3336"/>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1841</v>
      </c>
      <c r="B111" s="375" t="s">
        <v>450</v>
      </c>
      <c r="C111" s="404">
        <f ca="1">ROUND(D63*D111/(1+'数据-取费表'!C42),0)</f>
        <v>733</v>
      </c>
      <c r="D111" s="405">
        <f>'数据-取费表'!B43</f>
        <v>5.000000000000001E-3</v>
      </c>
      <c r="E111" s="3334" t="s">
        <v>2429</v>
      </c>
      <c r="F111" s="3335"/>
      <c r="G111" s="3335"/>
      <c r="H111" s="3336"/>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1842</v>
      </c>
      <c r="B112" s="375" t="s">
        <v>465</v>
      </c>
      <c r="C112" s="404">
        <f>ROUND(C108*D112,0)</f>
        <v>0</v>
      </c>
      <c r="D112" s="405">
        <v>0.2</v>
      </c>
      <c r="E112" s="3337" t="s">
        <v>2454</v>
      </c>
      <c r="F112" s="3335"/>
      <c r="G112" s="3335"/>
      <c r="H112" s="3336"/>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1836</v>
      </c>
      <c r="B113" s="381" t="s">
        <v>451</v>
      </c>
      <c r="C113" s="384">
        <f ca="1">ROUND(C103-C104,0)</f>
        <v>145189</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1837</v>
      </c>
      <c r="B114" s="381" t="s">
        <v>452</v>
      </c>
      <c r="C114" s="406">
        <f ca="1">IF(C113&lt;=0,0,C113/C104)</f>
        <v>102.03021784961349</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1838</v>
      </c>
      <c r="B115" s="386" t="s">
        <v>453</v>
      </c>
      <c r="C115" s="407">
        <f ca="1">ROUND(IF(C113&lt;=0,0,IF(C114&gt;=200%,C113*60%-C104*35%,IF(C114&gt;=100%,C113*50%-C104*15%,IF(C114&gt;=50%,C113*40%-C104*5%,IF(C114&lt;50%,C113*30%,0))))),0)</f>
        <v>86615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2427</v>
      </c>
      <c r="D1" s="1519">
        <f>SUM(D29:D30,D33:D39)</f>
        <v>0</v>
      </c>
      <c r="E1" s="1404" t="s">
        <v>2428</v>
      </c>
      <c r="F1" s="2451"/>
      <c r="G1" s="1399"/>
      <c r="H1" s="1399"/>
      <c r="I1" s="1399"/>
      <c r="J1" s="1399"/>
      <c r="K1" s="1399"/>
      <c r="L1" s="1881" t="s">
        <v>2240</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09" t="s">
        <v>1688</v>
      </c>
      <c r="B3" s="1036" t="e">
        <f>ROUND(B2*10000/D1,0)</f>
        <v>#DIV/0!</v>
      </c>
      <c r="C3" s="1405" t="s">
        <v>927</v>
      </c>
      <c r="D3" s="1406" t="s">
        <v>928</v>
      </c>
      <c r="E3" s="1410"/>
      <c r="F3" s="1411" t="s">
        <v>2932</v>
      </c>
      <c r="G3" s="1037">
        <f>IF(F3="宗地容积率",'数据-汇总表'!I4,IF(F3="估价对象容积率",'数据-汇总表'!I6,'数据-汇总表'!I7))</f>
        <v>2.48</v>
      </c>
      <c r="H3" s="1412" t="s">
        <v>929</v>
      </c>
      <c r="I3" s="1038">
        <v>8</v>
      </c>
      <c r="J3" s="1408" t="s">
        <v>930</v>
      </c>
      <c r="K3" s="1399"/>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2282</v>
      </c>
      <c r="B4" s="2452"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75" thickBot="1">
      <c r="A5" s="1636" t="s">
        <v>1824</v>
      </c>
      <c r="B5" s="1413" t="s">
        <v>931</v>
      </c>
      <c r="C5" s="1039" t="e">
        <f>ROUND(IF(E2="商业",IF(F16="增加",C6*C7+C16,C6*C7-C16),IF(E2="住宅",IF(F16="增加",C6*C12+C16,C6*C12-C16),IF(F16="增加",C6+C16,C6-C16))),0)</f>
        <v>#DIV/0!</v>
      </c>
      <c r="D5" s="3118">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371" t="str">
        <f>IF(E2="商业",IF(C8="不临58条商业街","",2),"")</f>
        <v/>
      </c>
      <c r="B7" s="1425" t="s">
        <v>932</v>
      </c>
      <c r="C7" s="1041" t="e">
        <f>IF(C8="不临58条商业街",1,ROUND(1+(1.6*E8+1.2*E9+0.8*E10+0.4*E11)*C9,4))</f>
        <v>#DIV/0!</v>
      </c>
      <c r="D7" s="1426" t="s">
        <v>933</v>
      </c>
      <c r="E7" s="1042"/>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2.48</v>
      </c>
      <c r="AA7" s="2191"/>
      <c r="AB7" s="2191"/>
      <c r="AC7" s="2192"/>
      <c r="AD7" s="2928"/>
      <c r="AE7" s="2928"/>
      <c r="AF7" s="2928"/>
      <c r="AG7" s="2928"/>
      <c r="AH7" s="2928"/>
      <c r="AI7" s="2928"/>
      <c r="AJ7" s="2929"/>
    </row>
    <row r="8" spans="1:39" ht="15">
      <c r="A8" s="3372"/>
      <c r="B8" s="1412" t="s">
        <v>934</v>
      </c>
      <c r="C8" s="1527"/>
      <c r="D8" s="1043" t="s">
        <v>935</v>
      </c>
      <c r="E8" s="1044" t="e">
        <f>ROUND(C11/E7,4)</f>
        <v>#DIV/0!</v>
      </c>
      <c r="F8" s="1430" t="s">
        <v>936</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381" t="s">
        <v>2784</v>
      </c>
      <c r="X8" s="3382"/>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372"/>
      <c r="B9" s="1412" t="s">
        <v>937</v>
      </c>
      <c r="C9" s="1045">
        <f>SUMIF(修正!C59:C119,C8,修正!E59:E119)</f>
        <v>0</v>
      </c>
      <c r="D9" s="1046" t="s">
        <v>938</v>
      </c>
      <c r="E9" s="1046" t="e">
        <f>ROUND(C11/E7,4)</f>
        <v>#DIV/0!</v>
      </c>
      <c r="F9" s="1430" t="s">
        <v>939</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380"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372"/>
      <c r="B10" s="1412" t="s">
        <v>940</v>
      </c>
      <c r="C10" s="1046">
        <f>SUMIF(修正!C59:C119,C8,修正!F59:F119)</f>
        <v>0</v>
      </c>
      <c r="D10" s="1046" t="s">
        <v>941</v>
      </c>
      <c r="E10" s="1046" t="e">
        <f>ROUND(C11/E7,4)</f>
        <v>#DIV/0!</v>
      </c>
      <c r="F10" s="1430" t="s">
        <v>942</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38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372"/>
      <c r="B11" s="1433" t="s">
        <v>943</v>
      </c>
      <c r="C11" s="1047">
        <f>C10/4</f>
        <v>0</v>
      </c>
      <c r="D11" s="1047" t="s">
        <v>944</v>
      </c>
      <c r="E11" s="1047" t="e">
        <f>ROUND(C11/E7,4)</f>
        <v>#DIV/0!</v>
      </c>
      <c r="F11" s="1434" t="s">
        <v>945</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380" t="s">
        <v>2782</v>
      </c>
      <c r="X11" s="1046" t="s">
        <v>2767</v>
      </c>
      <c r="Y11" s="1651">
        <f>$G$3</f>
        <v>2.48</v>
      </c>
      <c r="Z11" s="1651">
        <f t="shared" ref="Z11:AJ11" si="3">$G$3</f>
        <v>2.48</v>
      </c>
      <c r="AA11" s="1651">
        <f t="shared" si="3"/>
        <v>2.48</v>
      </c>
      <c r="AB11" s="1651">
        <f t="shared" si="3"/>
        <v>2.48</v>
      </c>
      <c r="AC11" s="1651">
        <f t="shared" si="3"/>
        <v>2.48</v>
      </c>
      <c r="AD11" s="1651">
        <f t="shared" si="3"/>
        <v>2.48</v>
      </c>
      <c r="AE11" s="1651">
        <f t="shared" si="3"/>
        <v>2.48</v>
      </c>
      <c r="AF11" s="1651">
        <f t="shared" si="3"/>
        <v>2.48</v>
      </c>
      <c r="AG11" s="1651">
        <f t="shared" si="3"/>
        <v>2.48</v>
      </c>
      <c r="AH11" s="1651">
        <f t="shared" si="3"/>
        <v>2.48</v>
      </c>
      <c r="AI11" s="1651">
        <f t="shared" si="3"/>
        <v>2.48</v>
      </c>
      <c r="AJ11" s="1651">
        <f t="shared" si="3"/>
        <v>2.48</v>
      </c>
    </row>
    <row r="12" spans="1:39" ht="25.5" thickBot="1">
      <c r="A12" s="3371" t="s">
        <v>1872</v>
      </c>
      <c r="B12" s="1437" t="s">
        <v>946</v>
      </c>
      <c r="C12" s="1041">
        <f>ROUND(C15*D15*E15*F15*G15*H15*I15*J15,4)</f>
        <v>1</v>
      </c>
      <c r="D12" s="1438" t="s">
        <v>947</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380"/>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373"/>
      <c r="B13" s="1442" t="s">
        <v>1697</v>
      </c>
      <c r="C13" s="1443" t="s">
        <v>1698</v>
      </c>
      <c r="D13" s="1087" t="s">
        <v>1699</v>
      </c>
      <c r="E13" s="1087" t="s">
        <v>1700</v>
      </c>
      <c r="F13" s="1444" t="s">
        <v>948</v>
      </c>
      <c r="G13" s="1445" t="s">
        <v>1643</v>
      </c>
      <c r="H13" s="1446" t="s">
        <v>1643</v>
      </c>
      <c r="I13" s="1447" t="s">
        <v>1643</v>
      </c>
      <c r="J13" s="1448" t="s">
        <v>1643</v>
      </c>
      <c r="K13" s="1399"/>
      <c r="L13" s="2188"/>
      <c r="M13" s="2188"/>
      <c r="N13" s="2188"/>
      <c r="O13" s="2188"/>
      <c r="P13" s="2188"/>
      <c r="Q13" s="2188"/>
      <c r="R13" s="2936">
        <v>12</v>
      </c>
      <c r="S13" s="2925"/>
      <c r="T13" s="2936" t="e">
        <f t="shared" si="0"/>
        <v>#DIV/0!</v>
      </c>
      <c r="U13" s="2925"/>
      <c r="V13" s="2936" t="e">
        <f t="shared" si="1"/>
        <v>#DIV/0!</v>
      </c>
      <c r="W13" s="3380"/>
      <c r="X13" s="2933"/>
      <c r="Y13" s="2932">
        <f>(-0.163*(Y12^2)-0.59*Y12+7617)*(10^(-4))/Y11</f>
        <v>0.30713709677419354</v>
      </c>
      <c r="Z13" s="2932">
        <f t="shared" ref="Z13:AJ13" si="5">(-0.163*(Z12^2)-0.59*Z12+7617)*(10^(-4))/Z11</f>
        <v>0.30713709677419354</v>
      </c>
      <c r="AA13" s="2932">
        <f t="shared" si="5"/>
        <v>0.30713709677419354</v>
      </c>
      <c r="AB13" s="2932">
        <f t="shared" si="5"/>
        <v>0.30713709677419354</v>
      </c>
      <c r="AC13" s="2932">
        <f t="shared" si="5"/>
        <v>0.30713709677419354</v>
      </c>
      <c r="AD13" s="2932">
        <f t="shared" si="5"/>
        <v>0.30713709677419354</v>
      </c>
      <c r="AE13" s="2932">
        <f t="shared" si="5"/>
        <v>0.30713709677419354</v>
      </c>
      <c r="AF13" s="2932">
        <f t="shared" si="5"/>
        <v>0.30713709677419354</v>
      </c>
      <c r="AG13" s="2932">
        <f t="shared" si="5"/>
        <v>0.30713709677419354</v>
      </c>
      <c r="AH13" s="2932">
        <f t="shared" si="5"/>
        <v>0.30713709677419354</v>
      </c>
      <c r="AI13" s="2932">
        <f t="shared" si="5"/>
        <v>0.30713709677419354</v>
      </c>
      <c r="AJ13" s="2932">
        <f t="shared" si="5"/>
        <v>0.30713709677419354</v>
      </c>
    </row>
    <row r="14" spans="1:39" ht="12.75" customHeight="1" thickBot="1">
      <c r="A14" s="3373"/>
      <c r="B14" s="1449"/>
      <c r="C14" s="1450"/>
      <c r="D14" s="1451"/>
      <c r="E14" s="1451"/>
      <c r="F14" s="1452"/>
      <c r="G14" s="1453" t="s">
        <v>949</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374"/>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36">
        <v>14</v>
      </c>
      <c r="S15" s="2925"/>
      <c r="T15" s="2936" t="e">
        <f t="shared" si="0"/>
        <v>#DIV/0!</v>
      </c>
      <c r="U15" s="2925"/>
      <c r="V15" s="2936" t="e">
        <f t="shared" si="1"/>
        <v>#DIV/0!</v>
      </c>
      <c r="W15" s="2188"/>
      <c r="X15" s="2188"/>
      <c r="Y15" s="2188"/>
      <c r="Z15" s="2188"/>
      <c r="AA15" s="2188"/>
      <c r="AB15" s="2188"/>
      <c r="AC15" s="2189"/>
    </row>
    <row r="16" spans="1:39" ht="24">
      <c r="A16" s="3371"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372"/>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71" t="s">
        <v>956</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ROUND(IF(H19="按公示增长率计算",SUMPRODUCT((地价!A3:A23=YEAR(G19)&amp;"-"&amp;ROUNDUP(MONTH(G19)/3,0))*(地价!X2:AB2=E2)*(地价!X3:AB23)),IF(H19="地价指数",M20/M19,(1+I19)^O19)),4)</f>
        <v>#DIV/0!</v>
      </c>
      <c r="D19" s="1472" t="s">
        <v>958</v>
      </c>
      <c r="E19" s="1056">
        <v>41640</v>
      </c>
      <c r="F19" s="1472" t="s">
        <v>959</v>
      </c>
      <c r="G19" s="1057">
        <f>'数据-取费表'!B2</f>
        <v>43314</v>
      </c>
      <c r="H19" s="1473" t="s">
        <v>2933</v>
      </c>
      <c r="I19" s="2783" t="str">
        <f>IF(H19="季度增幅（自定义）",SUMIF(N21:N24,E2,O21:O24),"")</f>
        <v/>
      </c>
      <c r="J19" s="1469"/>
      <c r="K19" s="1479"/>
      <c r="L19" s="3038" t="s">
        <v>2842</v>
      </c>
      <c r="M19" s="3039">
        <f>ROUND(SUMIF(地价!B2:F2,E2,地价!B23:F23),0)</f>
        <v>0</v>
      </c>
      <c r="N19" s="2785" t="s">
        <v>1677</v>
      </c>
      <c r="O19" s="2784">
        <f>ROUNDDOWN(DATEDIF(E19,G19,"M")/3,0)</f>
        <v>18</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79"/>
      <c r="L20" s="3040" t="s">
        <v>2843</v>
      </c>
      <c r="M20" s="3041">
        <f>ROUND(SUMPRODUCT((地价!A4:A23=YEAR(G19)&amp;"-"&amp;ROUNDUP(MONTH(G19)/3,0))*(地价!B2:F2=E2)*(地价!B4:F23)),0)</f>
        <v>0</v>
      </c>
      <c r="N20" s="2788" t="s">
        <v>2646</v>
      </c>
      <c r="O20" s="2786" t="s">
        <v>2645</v>
      </c>
      <c r="P20" s="2787" t="s">
        <v>2651</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25">
      <c r="A21" s="1640" t="s">
        <v>1838</v>
      </c>
      <c r="B21" s="1478" t="s">
        <v>2762</v>
      </c>
      <c r="C21" s="1156">
        <f>IF(B21="容积率修正",IF(G3&lt;=10,D22,J22),C23)</f>
        <v>0</v>
      </c>
      <c r="D21" s="1479"/>
      <c r="E21" s="1479"/>
      <c r="F21" s="1479"/>
      <c r="G21" s="1479"/>
      <c r="H21" s="1479"/>
      <c r="I21" s="1479"/>
      <c r="J21" s="1480"/>
      <c r="K21" s="1479"/>
      <c r="L21" s="1479"/>
      <c r="M21" s="1479"/>
      <c r="N21" s="1476" t="s">
        <v>976</v>
      </c>
      <c r="O21" s="1540"/>
      <c r="P21" s="2768">
        <f>SUMPRODUCT((地价!A3:A23=YEAR(G19)&amp;"-"&amp;ROUNDUP(MONTH(G19)/3,0))*(地价!AD2:AH2=N21)*(地价!AD3:AH23))</f>
        <v>1.54E-2</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2.4</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8">
        <f>SUMPRODUCT((地价!A3:A23=YEAR(G19)&amp;"-"&amp;ROUNDUP(MONTH(G19)/3,0))*(地价!AD2:AH2=N22)*(地价!AD3:AH23))</f>
        <v>1.54E-2</v>
      </c>
      <c r="R22" s="2924"/>
      <c r="S22" s="2924"/>
      <c r="T22" s="2924"/>
      <c r="U22" s="2924"/>
      <c r="V22" s="2924"/>
      <c r="W22" s="2194"/>
      <c r="X22" s="2194"/>
      <c r="Y22" s="2194"/>
      <c r="Z22" s="2194"/>
      <c r="AA22" s="2194"/>
      <c r="AB22" s="2194"/>
      <c r="AC22" s="2194"/>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8">
        <f>SUMPRODUCT((地价!A3:A23=YEAR(G19)&amp;"-"&amp;ROUNDUP(MONTH(G19)/3,0))*(地价!AD2:AH2=N23)*(地价!AD3:AH23))</f>
        <v>2.4500000000000001E-2</v>
      </c>
      <c r="R23" s="2924"/>
      <c r="S23" s="2924"/>
      <c r="T23" s="2924"/>
      <c r="U23" s="2924"/>
      <c r="V23" s="2924"/>
      <c r="W23" s="2194"/>
      <c r="X23" s="2194"/>
      <c r="Y23" s="2194"/>
      <c r="Z23" s="2194"/>
      <c r="AA23" s="2194"/>
      <c r="AB23" s="2194"/>
      <c r="AC23" s="2194"/>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SUMPRODUCT((地价!A3:A23=YEAR(G19)&amp;"-"&amp;ROUNDUP(MONTH(G19)/3,0))*(地价!AD2:AH2=N24)*(地价!AD3:AH23))</f>
        <v>1.41E-2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6" t="s">
        <v>2649</v>
      </c>
      <c r="O25" s="2194"/>
      <c r="P25" s="1539">
        <f>SUMPRODUCT((地价!A3:A23=YEAR(G19)&amp;"-"&amp;ROUNDUP(MONTH(G19)/3,0))*(地价!AD2:AH2=N25)*(地价!AD3:AH23))</f>
        <v>2.23E-2</v>
      </c>
      <c r="R25" s="2924"/>
      <c r="S25" s="2924"/>
      <c r="T25" s="2924"/>
      <c r="U25" s="2924"/>
      <c r="V25" s="2924"/>
      <c r="W25" s="2194"/>
      <c r="X25" s="2194"/>
      <c r="Y25" s="2194"/>
      <c r="Z25" s="2194"/>
      <c r="AA25" s="2194"/>
      <c r="AB25" s="2194"/>
      <c r="AC25" s="2194"/>
    </row>
    <row r="26" spans="1:40" ht="14.25">
      <c r="A26" s="1487"/>
      <c r="B26" s="1481" t="s">
        <v>987</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994</v>
      </c>
      <c r="C29" s="1061" t="e">
        <f>ROUND(C5*C18*C19*C20*C21*C24,0)</f>
        <v>#DIV/0!</v>
      </c>
      <c r="D29" s="1502"/>
      <c r="E29" s="1848" t="e">
        <f>ROUND(C29*D29/10000,0)</f>
        <v>#DIV/0!</v>
      </c>
      <c r="F29" s="1503" t="s">
        <v>1702</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75" thickBot="1">
      <c r="A30" s="1506"/>
      <c r="B30" s="1507" t="s">
        <v>995</v>
      </c>
      <c r="C30" s="1049"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377" t="s">
        <v>2959</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378"/>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378"/>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379"/>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1009</v>
      </c>
      <c r="B46" s="2407" t="s">
        <v>1010</v>
      </c>
      <c r="C46" s="2429" t="s">
        <v>1011</v>
      </c>
      <c r="D46" s="2430" t="s">
        <v>1012</v>
      </c>
      <c r="E46" s="2431" t="s">
        <v>1014</v>
      </c>
      <c r="F46" s="2432" t="s">
        <v>2252</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1021</v>
      </c>
      <c r="B47" s="2410" t="str">
        <f>估价对象房地状况!C16</f>
        <v>周边以住宅底商为主，商业氛围较差，人流量较小，商业繁华度较差</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1022</v>
      </c>
      <c r="B48" s="2407" t="str">
        <f>估价对象房地状况!C18</f>
        <v>估价对象周边道路状况一般、公共交通通达情况一般、停车便捷程度较好，有846、821等公交线路，综合评价交通便捷度较差</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1023</v>
      </c>
      <c r="B49" s="2407" t="str">
        <f>估价对象房地状况!C19</f>
        <v>周边工业用地比例较高，区域土地利用方向一般</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1024</v>
      </c>
      <c r="B50" s="3095" t="s">
        <v>2935</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1025</v>
      </c>
      <c r="B51" s="2407" t="str">
        <f>估价对象房地状况!C24</f>
        <v>次干道-辛四路</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1026</v>
      </c>
      <c r="B52" s="3094" t="s">
        <v>2934</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估价对象所在区域公共配套设施齐备情况较差</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七通</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24.75" thickBot="1">
      <c r="A55" s="2440" t="s">
        <v>1029</v>
      </c>
      <c r="B55" s="2411" t="str">
        <f>估价对象房地状况!C20</f>
        <v>综合评价环境状况较差</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1009</v>
      </c>
      <c r="B57" s="2407"/>
      <c r="C57" s="2429" t="s">
        <v>1011</v>
      </c>
      <c r="D57" s="2430" t="s">
        <v>1012</v>
      </c>
      <c r="E57" s="2431" t="s">
        <v>1014</v>
      </c>
      <c r="F57" s="2432" t="s">
        <v>2253</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24">
      <c r="A58" s="1065" t="s">
        <v>1031</v>
      </c>
      <c r="B58" s="2410">
        <f>估价对象房地状况!C17</f>
        <v>0</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1022</v>
      </c>
      <c r="B59" s="2407" t="str">
        <f>估价对象房地状况!C18</f>
        <v>估价对象周边道路状况一般、公共交通通达情况一般、停车便捷程度较好，有846、821等公交线路，综合评价交通便捷度较差</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1023</v>
      </c>
      <c r="B60" s="2407" t="str">
        <f>估价对象房地状况!C19</f>
        <v>周边工业用地比例较高，区域土地利用方向一般</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1024</v>
      </c>
      <c r="B61" s="3095" t="s">
        <v>2936</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1025</v>
      </c>
      <c r="B62" s="2407" t="str">
        <f>估价对象房地状况!C24</f>
        <v>次干道-辛四路</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1026</v>
      </c>
      <c r="B63" s="3094" t="s">
        <v>2934</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1027</v>
      </c>
      <c r="B64" s="2408" t="str">
        <f>估价对象房地状况!C21</f>
        <v>估价对象所在区域公共配套设施齐备情况较差</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1028</v>
      </c>
      <c r="B65" s="2408" t="str">
        <f>估价对象房地状况!C22</f>
        <v>七通</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24.75" thickBot="1">
      <c r="A66" s="2440" t="s">
        <v>1029</v>
      </c>
      <c r="B66" s="2412" t="str">
        <f>估价对象房地状况!C20</f>
        <v>综合评价环境状况较差</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1009</v>
      </c>
      <c r="B68" s="2407"/>
      <c r="C68" s="2429" t="s">
        <v>1011</v>
      </c>
      <c r="D68" s="2430" t="s">
        <v>1012</v>
      </c>
      <c r="E68" s="2431" t="s">
        <v>1014</v>
      </c>
      <c r="F68" s="2432" t="s">
        <v>2254</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72">
      <c r="A69" s="1065" t="s">
        <v>1033</v>
      </c>
      <c r="B69" s="2410" t="str">
        <f>估价对象房地状况!C15</f>
        <v>估价对象周边居住用地比例一般、居住小区规模和社区发展完善程度一般，有合生世界村、悦上城等小区，综合评价居住社区成熟度一般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1034</v>
      </c>
      <c r="B70" s="2407" t="str">
        <f>估价对象房地状况!C18</f>
        <v>估价对象周边道路状况一般、公共交通通达情况一般、停车便捷程度较好，有846、821等公交线路，综合评价交通便捷度较差</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1023</v>
      </c>
      <c r="B71" s="2407" t="str">
        <f>估价对象房地状况!C19</f>
        <v>周边工业用地比例较高，区域土地利用方向一般</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1035</v>
      </c>
      <c r="B72" s="2407" t="str">
        <f>估价对象房地状况!C24</f>
        <v>次干道-辛四路</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1027</v>
      </c>
      <c r="B73" s="2408" t="str">
        <f>估价对象房地状况!C21</f>
        <v>估价对象所在区域公共配套设施齐备情况较差</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1028</v>
      </c>
      <c r="B74" s="2408" t="str">
        <f>估价对象房地状况!C22</f>
        <v>七通</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1026</v>
      </c>
      <c r="B75" s="3094" t="s">
        <v>2934</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24">
      <c r="A76" s="1065" t="s">
        <v>1029</v>
      </c>
      <c r="B76" s="2410" t="str">
        <f>估价对象房地状况!C20</f>
        <v>综合评价环境状况较差</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1009</v>
      </c>
      <c r="B79" s="2407"/>
      <c r="C79" s="2429" t="s">
        <v>1011</v>
      </c>
      <c r="D79" s="2430" t="s">
        <v>1012</v>
      </c>
      <c r="E79" s="2431" t="s">
        <v>1014</v>
      </c>
      <c r="F79" s="2432" t="s">
        <v>2255</v>
      </c>
      <c r="G79" s="2430" t="s">
        <v>1015</v>
      </c>
      <c r="H79" s="2413" t="s">
        <v>2419</v>
      </c>
      <c r="I79" s="2430" t="s">
        <v>1013</v>
      </c>
      <c r="J79" s="2433" t="s">
        <v>1016</v>
      </c>
      <c r="K79" s="2433" t="s">
        <v>1017</v>
      </c>
      <c r="L79" s="2433" t="s">
        <v>1018</v>
      </c>
      <c r="M79" s="2433" t="s">
        <v>1019</v>
      </c>
      <c r="N79" s="2433" t="s">
        <v>1020</v>
      </c>
      <c r="AC79" s="1403"/>
      <c r="AD79" s="1402"/>
      <c r="AJ79" s="1401"/>
      <c r="AN79" s="1402"/>
    </row>
    <row r="80" spans="1:40" ht="36">
      <c r="A80" s="1065" t="s">
        <v>1038</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5" t="s">
        <v>1034</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1023</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5" t="s">
        <v>1035</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1027</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1028</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5" t="s">
        <v>1026</v>
      </c>
      <c r="B86" s="3094" t="s">
        <v>2934</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375" t="s">
        <v>1634</v>
      </c>
      <c r="B90" s="3375"/>
      <c r="C90" s="3375"/>
      <c r="D90" s="3375"/>
      <c r="E90" s="3375"/>
      <c r="F90" s="3375"/>
      <c r="G90" s="3375"/>
      <c r="H90" s="3375"/>
      <c r="I90" s="3375"/>
      <c r="J90" s="3375"/>
      <c r="K90" s="2449"/>
      <c r="L90" s="2449"/>
      <c r="M90" s="2449"/>
      <c r="N90" s="2449"/>
    </row>
    <row r="91" spans="1:40">
      <c r="A91" s="3376" t="s">
        <v>1444</v>
      </c>
      <c r="B91" s="3376" t="s">
        <v>1635</v>
      </c>
      <c r="C91" s="1138" t="s">
        <v>1636</v>
      </c>
      <c r="D91" s="1139"/>
      <c r="E91" s="1139"/>
      <c r="F91" s="1139"/>
      <c r="G91" s="1139"/>
      <c r="H91" s="1139"/>
      <c r="I91" s="1139"/>
      <c r="J91" s="1140"/>
      <c r="K91" s="1132"/>
      <c r="L91" s="1132"/>
      <c r="M91" s="1132"/>
      <c r="N91" s="1132"/>
    </row>
    <row r="92" spans="1:40">
      <c r="A92" s="3376"/>
      <c r="B92" s="3376"/>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383"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38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38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38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38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38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384"/>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38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383" t="s">
        <v>1638</v>
      </c>
      <c r="B101" s="1145" t="s">
        <v>906</v>
      </c>
      <c r="C101" s="1146">
        <f>$G$3</f>
        <v>2.48</v>
      </c>
      <c r="D101" s="1146">
        <f t="shared" ref="D101:N101" si="31">$G$3</f>
        <v>2.48</v>
      </c>
      <c r="E101" s="1146">
        <f t="shared" si="31"/>
        <v>2.48</v>
      </c>
      <c r="F101" s="1146">
        <f t="shared" si="31"/>
        <v>2.48</v>
      </c>
      <c r="G101" s="1146">
        <f t="shared" si="31"/>
        <v>2.48</v>
      </c>
      <c r="H101" s="1146">
        <f t="shared" si="31"/>
        <v>2.48</v>
      </c>
      <c r="I101" s="1146">
        <f t="shared" si="31"/>
        <v>2.48</v>
      </c>
      <c r="J101" s="1146">
        <f t="shared" si="31"/>
        <v>2.48</v>
      </c>
      <c r="K101" s="1146">
        <f t="shared" si="31"/>
        <v>2.48</v>
      </c>
      <c r="L101" s="1146">
        <f t="shared" si="31"/>
        <v>2.48</v>
      </c>
      <c r="M101" s="1146">
        <f t="shared" si="31"/>
        <v>2.48</v>
      </c>
      <c r="N101" s="1146">
        <f t="shared" si="31"/>
        <v>2.48</v>
      </c>
    </row>
    <row r="102" spans="1:14">
      <c r="A102" s="3384"/>
      <c r="B102" s="1141">
        <v>1</v>
      </c>
      <c r="C102" s="1142">
        <f>1.9362/C101</f>
        <v>0.78072580645161282</v>
      </c>
      <c r="D102" s="1142">
        <f>1.9362/D101</f>
        <v>0.78072580645161282</v>
      </c>
      <c r="E102" s="1142">
        <f>1.8629/E101</f>
        <v>0.75116935483870972</v>
      </c>
      <c r="F102" s="1142">
        <f>1.8629/F101</f>
        <v>0.75116935483870972</v>
      </c>
      <c r="G102" s="1142">
        <f>1.8629/G101</f>
        <v>0.75116935483870972</v>
      </c>
      <c r="H102" s="1142">
        <f>1.8629/H101</f>
        <v>0.75116935483870972</v>
      </c>
      <c r="I102" s="1142">
        <f>1.8629/I101</f>
        <v>0.75116935483870972</v>
      </c>
      <c r="J102" s="1142">
        <f>1.942/J101</f>
        <v>0.78306451612903227</v>
      </c>
      <c r="K102" s="1142">
        <f>1.942/K101</f>
        <v>0.78306451612903227</v>
      </c>
      <c r="L102" s="1142">
        <f>1.942/L101</f>
        <v>0.78306451612903227</v>
      </c>
      <c r="M102" s="1142">
        <f>1.942/M101</f>
        <v>0.78306451612903227</v>
      </c>
      <c r="N102" s="1142">
        <f>1.942/N101</f>
        <v>0.78306451612903227</v>
      </c>
    </row>
    <row r="103" spans="1:14">
      <c r="A103" s="3384"/>
      <c r="B103" s="1141">
        <v>2</v>
      </c>
      <c r="C103" s="1142">
        <f>1.4198/C101</f>
        <v>0.57250000000000001</v>
      </c>
      <c r="D103" s="1142">
        <f>1.4198/D101</f>
        <v>0.57250000000000001</v>
      </c>
      <c r="E103" s="1142">
        <f>1.3372/E101</f>
        <v>0.53919354838709677</v>
      </c>
      <c r="F103" s="1142">
        <f>1.3372/F101</f>
        <v>0.53919354838709677</v>
      </c>
      <c r="G103" s="1142">
        <f>1.3372/G101</f>
        <v>0.53919354838709677</v>
      </c>
      <c r="H103" s="1142">
        <f>1.3372/H101</f>
        <v>0.53919354838709677</v>
      </c>
      <c r="I103" s="1142">
        <f>1.3372/I101</f>
        <v>0.53919354838709677</v>
      </c>
      <c r="J103" s="1142">
        <f>1.2799/J101</f>
        <v>0.51608870967741938</v>
      </c>
      <c r="K103" s="1142">
        <f>1.2799/K101</f>
        <v>0.51608870967741938</v>
      </c>
      <c r="L103" s="1142">
        <f>1.2799/L101</f>
        <v>0.51608870967741938</v>
      </c>
      <c r="M103" s="1142">
        <f>1.2799/M101</f>
        <v>0.51608870967741938</v>
      </c>
      <c r="N103" s="1142">
        <f>1.2799/N101</f>
        <v>0.51608870967741938</v>
      </c>
    </row>
    <row r="104" spans="1:14">
      <c r="A104" s="3384"/>
      <c r="B104" s="1141">
        <v>3</v>
      </c>
      <c r="C104" s="1142">
        <f>1.1594/C101</f>
        <v>0.46749999999999997</v>
      </c>
      <c r="D104" s="1142">
        <f>1.1594/D101</f>
        <v>0.46749999999999997</v>
      </c>
      <c r="E104" s="1142">
        <f>1.0788/E101</f>
        <v>0.435</v>
      </c>
      <c r="F104" s="1142">
        <f>1.0788/F101</f>
        <v>0.435</v>
      </c>
      <c r="G104" s="1142">
        <f>1.0788/G101</f>
        <v>0.435</v>
      </c>
      <c r="H104" s="1142">
        <f>1.0788/H101</f>
        <v>0.435</v>
      </c>
      <c r="I104" s="1142">
        <f>1.0788/I101</f>
        <v>0.435</v>
      </c>
      <c r="J104" s="1142">
        <f>1.0072/J101</f>
        <v>0.40612903225806457</v>
      </c>
      <c r="K104" s="1142">
        <f>1.0072/K101</f>
        <v>0.40612903225806457</v>
      </c>
      <c r="L104" s="1142">
        <f>1.0072/L101</f>
        <v>0.40612903225806457</v>
      </c>
      <c r="M104" s="1142">
        <f>1.0072/M101</f>
        <v>0.40612903225806457</v>
      </c>
      <c r="N104" s="1142">
        <f>1.0072/N101</f>
        <v>0.40612903225806457</v>
      </c>
    </row>
    <row r="105" spans="1:14">
      <c r="A105" s="3384"/>
      <c r="B105" s="1141">
        <v>4</v>
      </c>
      <c r="C105" s="1142">
        <f>0.9622/C101</f>
        <v>0.38798387096774195</v>
      </c>
      <c r="D105" s="1142">
        <f>0.9622/D101</f>
        <v>0.38798387096774195</v>
      </c>
      <c r="E105" s="1142">
        <f>0.8656/E101</f>
        <v>0.34903225806451615</v>
      </c>
      <c r="F105" s="1142">
        <f>0.8656/F101</f>
        <v>0.34903225806451615</v>
      </c>
      <c r="G105" s="1142">
        <f>0.8656/G101</f>
        <v>0.34903225806451615</v>
      </c>
      <c r="H105" s="1142">
        <f>0.8656/H101</f>
        <v>0.34903225806451615</v>
      </c>
      <c r="I105" s="1142">
        <f>0.8656/I101</f>
        <v>0.34903225806451615</v>
      </c>
      <c r="J105" s="1142">
        <f>0.7525/J101</f>
        <v>0.30342741935483869</v>
      </c>
      <c r="K105" s="1142">
        <f>0.7525/K101</f>
        <v>0.30342741935483869</v>
      </c>
      <c r="L105" s="1142">
        <f>0.7525/L101</f>
        <v>0.30342741935483869</v>
      </c>
      <c r="M105" s="1142">
        <f>0.7525/M101</f>
        <v>0.30342741935483869</v>
      </c>
      <c r="N105" s="1142">
        <f>0.7525/N101</f>
        <v>0.30342741935483869</v>
      </c>
    </row>
    <row r="106" spans="1:14">
      <c r="A106" s="3384"/>
      <c r="B106" s="1141">
        <v>5</v>
      </c>
      <c r="C106" s="1142">
        <f>0.8417/C101</f>
        <v>0.3393951612903226</v>
      </c>
      <c r="D106" s="1142">
        <f>0.8417/D101</f>
        <v>0.3393951612903226</v>
      </c>
      <c r="E106" s="1142">
        <f>0.7371/E101</f>
        <v>0.29721774193548384</v>
      </c>
      <c r="F106" s="1142">
        <f>0.7371/F101</f>
        <v>0.29721774193548384</v>
      </c>
      <c r="G106" s="1142">
        <f>0.7371/G101</f>
        <v>0.29721774193548384</v>
      </c>
      <c r="H106" s="1142">
        <f>0.7371/H101</f>
        <v>0.29721774193548384</v>
      </c>
      <c r="I106" s="1142">
        <f>0.7371/I101</f>
        <v>0.29721774193548384</v>
      </c>
      <c r="J106" s="1142">
        <f>0.5659/J101</f>
        <v>0.22818548387096774</v>
      </c>
      <c r="K106" s="1142">
        <f>0.5659/K101</f>
        <v>0.22818548387096774</v>
      </c>
      <c r="L106" s="1142">
        <f>0.5659/L101</f>
        <v>0.22818548387096774</v>
      </c>
      <c r="M106" s="1142">
        <f>0.5659/M101</f>
        <v>0.22818548387096774</v>
      </c>
      <c r="N106" s="1142">
        <f>0.5659/N101</f>
        <v>0.22818548387096774</v>
      </c>
    </row>
    <row r="107" spans="1:14">
      <c r="A107" s="3384"/>
      <c r="B107" s="1141">
        <v>6</v>
      </c>
      <c r="C107" s="1142">
        <f>0.7608/C101</f>
        <v>0.30677419354838709</v>
      </c>
      <c r="D107" s="1142">
        <f>0.7608/D101</f>
        <v>0.30677419354838709</v>
      </c>
      <c r="E107" s="1142">
        <f>0.6482/E101</f>
        <v>0.26137096774193547</v>
      </c>
      <c r="F107" s="1142">
        <f>0.6482/F101</f>
        <v>0.26137096774193547</v>
      </c>
      <c r="G107" s="1142">
        <f>0.6482/G101</f>
        <v>0.26137096774193547</v>
      </c>
      <c r="H107" s="1142">
        <f>0.6482/H101</f>
        <v>0.26137096774193547</v>
      </c>
      <c r="I107" s="1142">
        <f>0.6482/I101</f>
        <v>0.26137096774193547</v>
      </c>
      <c r="J107" s="1142">
        <f>0.4525/J101</f>
        <v>0.18245967741935484</v>
      </c>
      <c r="K107" s="1142">
        <f>0.4525/K101</f>
        <v>0.18245967741935484</v>
      </c>
      <c r="L107" s="1142">
        <f>0.4525/L101</f>
        <v>0.18245967741935484</v>
      </c>
      <c r="M107" s="1142">
        <f>0.4525/M101</f>
        <v>0.18245967741935484</v>
      </c>
      <c r="N107" s="1142">
        <f>0.4525/N101</f>
        <v>0.18245967741935484</v>
      </c>
    </row>
    <row r="108" spans="1:14">
      <c r="A108" s="3384"/>
      <c r="B108" s="3386"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385"/>
      <c r="B109" s="3387"/>
      <c r="C109" s="1144">
        <f>(-0.163*(C108^2)-0.59*C108+7617)*(10^(-4))/C101</f>
        <v>0.30652612903225807</v>
      </c>
      <c r="D109" s="1144">
        <f>(-0.163*(D108^2)-0.59*D108+7617)*(10^(-4))/D101</f>
        <v>0.30652612903225807</v>
      </c>
      <c r="E109" s="1144">
        <f>(-0.161*(E108^2)-7.509*E108+6533)*(10^(-4))/E101</f>
        <v>0.26058967741935485</v>
      </c>
      <c r="F109" s="1144">
        <f>(-0.161*(F108^2)-7.509*F108+6533)*(10^(-4))/F101</f>
        <v>0.26058967741935485</v>
      </c>
      <c r="G109" s="1144">
        <f>(-0.161*(G108^2)-7.509*G108+6533)*(10^(-4))/G101</f>
        <v>0.26058967741935485</v>
      </c>
      <c r="H109" s="1144">
        <f>(-0.161*(H108^2)-7.509*H108+6533)*(10^(-4))/H101</f>
        <v>0.26058967741935485</v>
      </c>
      <c r="I109" s="1144">
        <f>(-0.161*(I108^2)-7.509*I108+6533)*(10^(-4))/I101</f>
        <v>0.26058967741935485</v>
      </c>
      <c r="J109" s="1144">
        <f>(-0.214*(J108^2)-21.991*J108+4665)*(10^(-4))/J101</f>
        <v>0.18045870967741937</v>
      </c>
      <c r="K109" s="1144">
        <f>(-0.214*(K108^2)-21.991*K108+4665)*(10^(-4))/K101</f>
        <v>0.18045870967741937</v>
      </c>
      <c r="L109" s="1144">
        <f>(-0.214*(L108^2)-21.991*L108+4665)*(10^(-4))/L101</f>
        <v>0.18045870967741937</v>
      </c>
      <c r="M109" s="1144">
        <f>(-0.214*(M108^2)-21.991*M108+4665)*(10^(-4))/M101</f>
        <v>0.18045870967741937</v>
      </c>
      <c r="N109" s="1144">
        <f>(-0.214*(N108^2)-21.991*N108+4665)*(10^(-4))/N101</f>
        <v>0.18045870967741937</v>
      </c>
    </row>
    <row r="110" spans="1:14">
      <c r="A110" s="3370" t="s">
        <v>1640</v>
      </c>
      <c r="B110" s="3370"/>
      <c r="C110" s="3370"/>
      <c r="D110" s="3370"/>
      <c r="E110" s="3370"/>
      <c r="F110" s="3370"/>
      <c r="G110" s="3370"/>
      <c r="H110" s="3370"/>
      <c r="I110" s="3370"/>
      <c r="J110" s="3370"/>
      <c r="K110" s="2447"/>
      <c r="L110" s="2447"/>
      <c r="M110" s="2447"/>
      <c r="N110" s="2447"/>
    </row>
    <row r="112" spans="1:14" ht="12.75" thickBot="1"/>
    <row r="113" spans="1:13" ht="25.5" thickBot="1">
      <c r="A113" s="1014" t="s">
        <v>896</v>
      </c>
      <c r="B113" s="2450">
        <f>G3</f>
        <v>2.48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0.91020000000000001</v>
      </c>
      <c r="C115" s="1028">
        <f>B115</f>
        <v>0.91020000000000001</v>
      </c>
      <c r="D115" s="1028">
        <f>ROUND(0.8331-0.0109*B113,4)</f>
        <v>0.80610000000000004</v>
      </c>
      <c r="E115" s="1028">
        <f>D115</f>
        <v>0.80610000000000004</v>
      </c>
      <c r="F115" s="1028">
        <f>E115</f>
        <v>0.80610000000000004</v>
      </c>
      <c r="G115" s="1028">
        <f>F115</f>
        <v>0.80610000000000004</v>
      </c>
      <c r="H115" s="1028">
        <f>G115</f>
        <v>0.80610000000000004</v>
      </c>
      <c r="I115" s="1028">
        <f>ROUND(0.689-0.0155*B113,4)</f>
        <v>0.65059999999999996</v>
      </c>
      <c r="J115" s="1028">
        <f t="shared" ref="J115:M118" si="33">I115</f>
        <v>0.65059999999999996</v>
      </c>
      <c r="K115" s="1028">
        <f t="shared" si="33"/>
        <v>0.65059999999999996</v>
      </c>
      <c r="L115" s="1028">
        <f t="shared" si="33"/>
        <v>0.65059999999999996</v>
      </c>
      <c r="M115" s="1029">
        <f t="shared" si="33"/>
        <v>0.65059999999999996</v>
      </c>
    </row>
    <row r="116" spans="1:13" ht="12.75">
      <c r="A116" s="1027" t="s">
        <v>901</v>
      </c>
      <c r="B116" s="1028">
        <f>ROUND(0.949-0.012*B113,4)</f>
        <v>0.91920000000000002</v>
      </c>
      <c r="C116" s="1028">
        <f>B116</f>
        <v>0.91920000000000002</v>
      </c>
      <c r="D116" s="1028">
        <f>ROUND(0.8567-0.013*B113,4)</f>
        <v>0.82450000000000001</v>
      </c>
      <c r="E116" s="1028">
        <f t="shared" ref="E116:H117" si="34">D116</f>
        <v>0.82450000000000001</v>
      </c>
      <c r="F116" s="1028">
        <f t="shared" si="34"/>
        <v>0.82450000000000001</v>
      </c>
      <c r="G116" s="1028">
        <f t="shared" si="34"/>
        <v>0.82450000000000001</v>
      </c>
      <c r="H116" s="1028">
        <f t="shared" si="34"/>
        <v>0.82450000000000001</v>
      </c>
      <c r="I116" s="1028">
        <f>ROUND(0.7694-0.014*B113,4)</f>
        <v>0.73470000000000002</v>
      </c>
      <c r="J116" s="1028">
        <f t="shared" si="33"/>
        <v>0.73470000000000002</v>
      </c>
      <c r="K116" s="1028">
        <f t="shared" si="33"/>
        <v>0.73470000000000002</v>
      </c>
      <c r="L116" s="1028">
        <f t="shared" si="33"/>
        <v>0.73470000000000002</v>
      </c>
      <c r="M116" s="1029">
        <f t="shared" si="33"/>
        <v>0.73470000000000002</v>
      </c>
    </row>
    <row r="117" spans="1:13" ht="12.75">
      <c r="A117" s="1030" t="s">
        <v>902</v>
      </c>
      <c r="B117" s="1028">
        <f>ROUND(0.8808-0.006*B113,4)</f>
        <v>0.8659</v>
      </c>
      <c r="C117" s="1028">
        <f>B117</f>
        <v>0.8659</v>
      </c>
      <c r="D117" s="1028">
        <f>ROUND(0.8748-0.008*B113,4)</f>
        <v>0.85499999999999998</v>
      </c>
      <c r="E117" s="1028">
        <f t="shared" si="34"/>
        <v>0.85499999999999998</v>
      </c>
      <c r="F117" s="1028">
        <f t="shared" si="34"/>
        <v>0.85499999999999998</v>
      </c>
      <c r="G117" s="1028">
        <f t="shared" si="34"/>
        <v>0.85499999999999998</v>
      </c>
      <c r="H117" s="1028">
        <f t="shared" si="34"/>
        <v>0.85499999999999998</v>
      </c>
      <c r="I117" s="1028">
        <f>ROUND(0.7412-0.0095*B113,4)</f>
        <v>0.71760000000000002</v>
      </c>
      <c r="J117" s="1028">
        <f t="shared" si="33"/>
        <v>0.71760000000000002</v>
      </c>
      <c r="K117" s="1028">
        <f t="shared" si="33"/>
        <v>0.71760000000000002</v>
      </c>
      <c r="L117" s="1028">
        <f t="shared" si="33"/>
        <v>0.71760000000000002</v>
      </c>
      <c r="M117" s="1029">
        <f t="shared" si="33"/>
        <v>0.71760000000000002</v>
      </c>
    </row>
    <row r="118" spans="1:13" ht="13.5" thickBot="1">
      <c r="A118" s="1031" t="s">
        <v>903</v>
      </c>
      <c r="B118" s="1032">
        <f>ROUND(0.7275-0.01*B113,4)</f>
        <v>0.70269999999999999</v>
      </c>
      <c r="C118" s="1032">
        <f>B118</f>
        <v>0.70269999999999999</v>
      </c>
      <c r="D118" s="1032">
        <f>ROUND(0.7043-0.012*B113,4)</f>
        <v>0.67449999999999999</v>
      </c>
      <c r="E118" s="1032">
        <f>D118</f>
        <v>0.67449999999999999</v>
      </c>
      <c r="F118" s="1032">
        <f>E118</f>
        <v>0.67449999999999999</v>
      </c>
      <c r="G118" s="1032">
        <f>ROUND(0.6299-0.0122*B113,4)</f>
        <v>0.59960000000000002</v>
      </c>
      <c r="H118" s="1032">
        <f>G118</f>
        <v>0.59960000000000002</v>
      </c>
      <c r="I118" s="1032">
        <f>ROUND(0.5667-0.0136*B113,4)</f>
        <v>0.53300000000000003</v>
      </c>
      <c r="J118" s="1032">
        <f t="shared" si="33"/>
        <v>0.53300000000000003</v>
      </c>
      <c r="K118" s="1032">
        <f t="shared" si="33"/>
        <v>0.53300000000000003</v>
      </c>
      <c r="L118" s="1032">
        <f t="shared" si="33"/>
        <v>0.53300000000000003</v>
      </c>
      <c r="M118" s="1033">
        <f t="shared" si="33"/>
        <v>0.53300000000000003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D24" sqref="D24"/>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05" t="str">
        <f>项目基本情况!B1</f>
        <v>北京市北京市通州区马驹桥镇金桥科技产业基地共2宗住宅用地出让国有建设用地使用权市场价格预评估</v>
      </c>
      <c r="C37" s="3205"/>
      <c r="D37" s="3205"/>
      <c r="E37" s="3205"/>
      <c r="F37" s="3205"/>
      <c r="G37" s="3205"/>
      <c r="H37" s="3205"/>
      <c r="I37" s="3205"/>
    </row>
    <row r="38" spans="1:9">
      <c r="A38" s="1654"/>
      <c r="B38" s="1654"/>
    </row>
    <row r="39" spans="1:9">
      <c r="A39" s="1652" t="s">
        <v>1902</v>
      </c>
      <c r="B39" s="1652" t="s">
        <v>2048</v>
      </c>
    </row>
    <row r="40" spans="1:9">
      <c r="A40" s="1652"/>
      <c r="B40" s="1652" t="str">
        <f>项目基本情况!B5</f>
        <v>北京捷宸阳光科技发展有限公司</v>
      </c>
    </row>
    <row r="41" spans="1:9">
      <c r="A41" s="1652"/>
      <c r="B41" s="1652"/>
    </row>
    <row r="42" spans="1:9">
      <c r="A42" s="1652" t="s">
        <v>1902</v>
      </c>
      <c r="B42" s="1652" t="s">
        <v>2049</v>
      </c>
    </row>
    <row r="43" spans="1:9">
      <c r="A43" s="1652"/>
      <c r="B43" s="1652" t="s">
        <v>1904</v>
      </c>
    </row>
    <row r="44" spans="1:9">
      <c r="A44" s="1652"/>
      <c r="B44" s="1652"/>
    </row>
    <row r="45" spans="1:9">
      <c r="A45" s="1652" t="s">
        <v>1902</v>
      </c>
      <c r="B45" s="1652" t="s">
        <v>2047</v>
      </c>
    </row>
    <row r="46" spans="1:9" s="1652" customFormat="1" ht="12.75">
      <c r="B46" s="1652" t="str">
        <f>项目基本情况!K4</f>
        <v>吴薇、赵雯</v>
      </c>
    </row>
    <row r="47" spans="1:9">
      <c r="A47" s="1652"/>
      <c r="B47" s="1652"/>
    </row>
    <row r="48" spans="1:9">
      <c r="A48" s="1652" t="s">
        <v>1902</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D51" sqref="D51"/>
    </sheetView>
  </sheetViews>
  <sheetFormatPr defaultRowHeight="14.25"/>
  <cols>
    <col min="1" max="1" width="15.625" style="1335" customWidth="1"/>
    <col min="2" max="2" width="15.75" style="1335" customWidth="1"/>
    <col min="3" max="3" width="20.25" style="1335" customWidth="1"/>
    <col min="4" max="4" width="12.25" style="1335" customWidth="1"/>
    <col min="5" max="5" width="16.125" style="1335" customWidth="1"/>
    <col min="6" max="6" width="12.25" style="1335" customWidth="1"/>
    <col min="7" max="7" width="16.875" style="1335" customWidth="1"/>
    <col min="8" max="8" width="12.25" style="1335" customWidth="1"/>
    <col min="9" max="9" width="17.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282482</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10272</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32543</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2170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521</v>
      </c>
      <c r="B6" s="512"/>
      <c r="C6" s="3410" t="s">
        <v>522</v>
      </c>
      <c r="D6" s="3411"/>
      <c r="E6" s="3410" t="s">
        <v>523</v>
      </c>
      <c r="F6" s="3411"/>
      <c r="G6" s="3410" t="s">
        <v>524</v>
      </c>
      <c r="H6" s="3411"/>
      <c r="I6" s="3410" t="s">
        <v>525</v>
      </c>
      <c r="J6" s="3411"/>
      <c r="K6" s="513" t="s">
        <v>526</v>
      </c>
      <c r="L6" s="2132"/>
      <c r="M6" s="2131"/>
      <c r="N6" s="2131"/>
      <c r="O6" s="2133"/>
      <c r="P6" s="3412" t="s">
        <v>527</v>
      </c>
      <c r="Q6" s="3413"/>
      <c r="R6" s="3398" t="s">
        <v>523</v>
      </c>
      <c r="S6" s="3399"/>
      <c r="T6" s="3398" t="s">
        <v>524</v>
      </c>
      <c r="U6" s="3399"/>
      <c r="V6" s="3418" t="s">
        <v>525</v>
      </c>
      <c r="W6" s="3418"/>
      <c r="X6" s="1565"/>
      <c r="Y6" s="3398" t="s">
        <v>527</v>
      </c>
      <c r="Z6" s="3399"/>
      <c r="AA6" s="3393" t="s">
        <v>523</v>
      </c>
      <c r="AB6" s="3394" t="s">
        <v>524</v>
      </c>
      <c r="AC6" s="3393" t="s">
        <v>525</v>
      </c>
    </row>
    <row r="7" spans="1:30" ht="49.5" customHeight="1">
      <c r="A7" s="514"/>
      <c r="B7" s="515"/>
      <c r="C7" s="3423" t="str">
        <f>项目基本情况!F10</f>
        <v>北京市通州区马驹桥镇金桥科技产业基地共2宗住宅用地</v>
      </c>
      <c r="D7" s="3422"/>
      <c r="E7" s="3421" t="str">
        <f>Sheet1!A2</f>
        <v>北京市大兴区黄村镇DX00-0103-1304地块R2二类居住用地</v>
      </c>
      <c r="F7" s="3422"/>
      <c r="G7" s="3421" t="str">
        <f>Sheet1!A3</f>
        <v>北京市房山区阎村镇LX14-0602等地块R2二类居住用地、S4社会停车场用地、A33基础教育用地</v>
      </c>
      <c r="H7" s="3422"/>
      <c r="I7" s="3421" t="str">
        <f>Sheet1!A4</f>
        <v>北京市通州区台湖镇YZ00-0405-0078、0079、0081地块R2二类居住用地</v>
      </c>
      <c r="J7" s="3422"/>
      <c r="K7" s="513"/>
      <c r="L7" s="2132"/>
      <c r="M7" s="2131"/>
      <c r="N7" s="2131"/>
      <c r="O7" s="2133"/>
      <c r="P7" s="3414"/>
      <c r="Q7" s="3415"/>
      <c r="R7" s="3400"/>
      <c r="S7" s="3401"/>
      <c r="T7" s="3400"/>
      <c r="U7" s="3401"/>
      <c r="V7" s="3418"/>
      <c r="W7" s="3418"/>
      <c r="X7" s="1565"/>
      <c r="Y7" s="3400"/>
      <c r="Z7" s="3401"/>
      <c r="AA7" s="3394"/>
      <c r="AB7" s="3394"/>
      <c r="AC7" s="3394"/>
    </row>
    <row r="8" spans="1:30" ht="21" thickBot="1">
      <c r="A8" s="514"/>
      <c r="B8" s="515"/>
      <c r="C8" s="3424" t="s">
        <v>2929</v>
      </c>
      <c r="D8" s="3425"/>
      <c r="E8" s="3424" t="s">
        <v>2929</v>
      </c>
      <c r="F8" s="3425"/>
      <c r="G8" s="3419" t="s">
        <v>2929</v>
      </c>
      <c r="H8" s="3420"/>
      <c r="I8" s="3419" t="s">
        <v>2929</v>
      </c>
      <c r="J8" s="3420"/>
      <c r="K8" s="513" t="s">
        <v>528</v>
      </c>
      <c r="L8" s="2132"/>
      <c r="M8" s="2131"/>
      <c r="N8" s="2131"/>
      <c r="O8" s="2133"/>
      <c r="P8" s="3416"/>
      <c r="Q8" s="3417"/>
      <c r="R8" s="3400"/>
      <c r="S8" s="3401"/>
      <c r="T8" s="3402"/>
      <c r="U8" s="3403"/>
      <c r="V8" s="3418"/>
      <c r="W8" s="3418"/>
      <c r="X8" s="1565"/>
      <c r="Y8" s="3402"/>
      <c r="Z8" s="3403"/>
      <c r="AA8" s="3395"/>
      <c r="AB8" s="3395"/>
      <c r="AC8" s="3395"/>
    </row>
    <row r="9" spans="1:30" s="1218" customFormat="1" ht="21" thickBot="1">
      <c r="A9" s="2911"/>
      <c r="B9" s="2918" t="s">
        <v>529</v>
      </c>
      <c r="C9" s="2910">
        <f>'数据-取费表'!B2</f>
        <v>43314</v>
      </c>
      <c r="D9" s="519">
        <v>100</v>
      </c>
      <c r="E9" s="520" t="str">
        <f>Sheet1!S2</f>
        <v>2018-01-18</v>
      </c>
      <c r="F9" s="521">
        <f>SUMIF(72:72,YEAR(E9)&amp;"-"&amp;INT((MONTH(E9)+2)/3),73:73)</f>
        <v>98</v>
      </c>
      <c r="G9" s="522" t="str">
        <f>Sheet1!S3</f>
        <v>2017-12-07</v>
      </c>
      <c r="H9" s="519">
        <f>SUMIF(72:72,YEAR(G9)&amp;"-"&amp;INT((MONTH(G9)+2)/3),73:73)</f>
        <v>97</v>
      </c>
      <c r="I9" s="522" t="str">
        <f>Sheet1!S4</f>
        <v>2018-02-06</v>
      </c>
      <c r="J9" s="519">
        <f>SUMIF(72:72,YEAR(I9)&amp;"-"&amp;INT((MONTH(I9)+2)/3),73:73)</f>
        <v>98</v>
      </c>
      <c r="K9" s="523"/>
      <c r="L9" s="2134"/>
      <c r="M9" s="2131"/>
      <c r="N9" s="2131"/>
      <c r="O9" s="2135"/>
      <c r="P9" s="3396" t="s">
        <v>530</v>
      </c>
      <c r="Q9" s="3405"/>
      <c r="R9" s="1566" t="s">
        <v>8</v>
      </c>
      <c r="S9" s="1567">
        <f t="shared" ref="S9:S17" si="0">F9</f>
        <v>98</v>
      </c>
      <c r="T9" s="1566" t="s">
        <v>8</v>
      </c>
      <c r="U9" s="1567">
        <f t="shared" ref="U9:U17" si="1">H9</f>
        <v>97</v>
      </c>
      <c r="V9" s="1566" t="s">
        <v>8</v>
      </c>
      <c r="W9" s="1567">
        <f t="shared" ref="W9:W17" si="2">J9</f>
        <v>98</v>
      </c>
      <c r="X9" s="1568"/>
      <c r="Y9" s="3396" t="s">
        <v>530</v>
      </c>
      <c r="Z9" s="3397"/>
      <c r="AA9" s="1569">
        <f>D9/F9</f>
        <v>1.0204081632653061</v>
      </c>
      <c r="AB9" s="1569">
        <f>D9/H9</f>
        <v>1.0309278350515463</v>
      </c>
      <c r="AC9" s="1569">
        <f>D9/J9</f>
        <v>1.0204081632653061</v>
      </c>
    </row>
    <row r="10" spans="1:30" s="1218" customFormat="1" ht="21" thickBot="1">
      <c r="A10" s="2912"/>
      <c r="B10" s="2919"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4"/>
      <c r="M10" s="2131"/>
      <c r="N10" s="2131"/>
      <c r="O10" s="2135"/>
      <c r="P10" s="3396" t="s">
        <v>533</v>
      </c>
      <c r="Q10" s="3397"/>
      <c r="R10" s="1566" t="s">
        <v>8</v>
      </c>
      <c r="S10" s="1567">
        <f t="shared" si="0"/>
        <v>100</v>
      </c>
      <c r="T10" s="1566" t="s">
        <v>8</v>
      </c>
      <c r="U10" s="1567">
        <f t="shared" si="1"/>
        <v>100</v>
      </c>
      <c r="V10" s="1566" t="s">
        <v>8</v>
      </c>
      <c r="W10" s="1567">
        <f t="shared" si="2"/>
        <v>100</v>
      </c>
      <c r="X10" s="1568"/>
      <c r="Y10" s="3396" t="s">
        <v>533</v>
      </c>
      <c r="Z10" s="3397"/>
      <c r="AA10" s="1569">
        <f t="shared" ref="AA10:AA47" si="3">D10/F10</f>
        <v>1</v>
      </c>
      <c r="AB10" s="1569">
        <f t="shared" ref="AB10:AB47" si="4">D10/H10</f>
        <v>1</v>
      </c>
      <c r="AC10" s="1569">
        <f t="shared" ref="AC10:AC47" si="5">D10/J10</f>
        <v>1</v>
      </c>
    </row>
    <row r="11" spans="1:30" s="1218" customFormat="1" ht="20.25">
      <c r="A11" s="2913"/>
      <c r="B11" s="2920" t="s">
        <v>2757</v>
      </c>
      <c r="C11" s="2907" t="s">
        <v>3204</v>
      </c>
      <c r="D11" s="253">
        <v>100</v>
      </c>
      <c r="E11" s="2907" t="s">
        <v>3204</v>
      </c>
      <c r="F11" s="253">
        <f>SUMIF(77:77,E11,78:78)-SUMIF(77:77,C11,78:78)+100</f>
        <v>100</v>
      </c>
      <c r="G11" s="2907" t="s">
        <v>3204</v>
      </c>
      <c r="H11" s="253">
        <f>SUMIF(77:77,G11,78:78)-SUMIF(77:77,C11,78:78)+100</f>
        <v>100</v>
      </c>
      <c r="I11" s="2907" t="s">
        <v>3204</v>
      </c>
      <c r="J11" s="253">
        <f>SUMIF(77:77,I11,78:78)-SUMIF(77:77,C11,78:78)+100</f>
        <v>100</v>
      </c>
      <c r="K11" s="523"/>
      <c r="L11" s="2134"/>
      <c r="M11" s="2131"/>
      <c r="N11" s="2131"/>
      <c r="O11" s="2136"/>
      <c r="P11" s="3404" t="s">
        <v>535</v>
      </c>
      <c r="Q11" s="1149" t="str">
        <f t="shared" ref="Q11:Q17" si="6">B11</f>
        <v>用途</v>
      </c>
      <c r="R11" s="1566" t="s">
        <v>8</v>
      </c>
      <c r="S11" s="1567">
        <f t="shared" si="0"/>
        <v>100</v>
      </c>
      <c r="T11" s="1566" t="s">
        <v>8</v>
      </c>
      <c r="U11" s="1567">
        <f t="shared" si="1"/>
        <v>100</v>
      </c>
      <c r="V11" s="1566" t="s">
        <v>8</v>
      </c>
      <c r="W11" s="1567">
        <f t="shared" si="2"/>
        <v>100</v>
      </c>
      <c r="X11" s="1568"/>
      <c r="Y11" s="3343" t="s">
        <v>536</v>
      </c>
      <c r="Z11" s="1148" t="str">
        <f t="shared" ref="Z11:Z17" si="7">Q11</f>
        <v>用途</v>
      </c>
      <c r="AA11" s="1569">
        <f t="shared" si="3"/>
        <v>1</v>
      </c>
      <c r="AB11" s="1569">
        <f t="shared" si="4"/>
        <v>1</v>
      </c>
      <c r="AC11" s="1569">
        <f t="shared" si="5"/>
        <v>1</v>
      </c>
    </row>
    <row r="12" spans="1:30" s="1336" customFormat="1" ht="27">
      <c r="A12" s="2914"/>
      <c r="B12" s="2919" t="s">
        <v>2758</v>
      </c>
      <c r="C12" s="908"/>
      <c r="D12" s="254">
        <v>100</v>
      </c>
      <c r="E12" s="528"/>
      <c r="F12" s="254">
        <f>ROUND(100/'数据-取费表'!G16,0)</f>
        <v>104</v>
      </c>
      <c r="G12" s="529"/>
      <c r="H12" s="254">
        <f>ROUND(100/'数据-取费表'!G16,0)</f>
        <v>104</v>
      </c>
      <c r="I12" s="529"/>
      <c r="J12" s="254">
        <f>ROUND(100/'数据-取费表'!G16,0)</f>
        <v>104</v>
      </c>
      <c r="K12" s="530"/>
      <c r="L12" s="2137"/>
      <c r="M12" s="2131"/>
      <c r="N12" s="2131"/>
      <c r="O12" s="2138"/>
      <c r="P12" s="3404"/>
      <c r="Q12" s="1149" t="str">
        <f t="shared" si="6"/>
        <v>土地使用年限（年）</v>
      </c>
      <c r="R12" s="1566" t="s">
        <v>8</v>
      </c>
      <c r="S12" s="1567">
        <f t="shared" si="0"/>
        <v>104</v>
      </c>
      <c r="T12" s="1566" t="s">
        <v>8</v>
      </c>
      <c r="U12" s="1567">
        <f t="shared" si="1"/>
        <v>104</v>
      </c>
      <c r="V12" s="1566" t="s">
        <v>8</v>
      </c>
      <c r="W12" s="1567">
        <f t="shared" si="2"/>
        <v>104</v>
      </c>
      <c r="X12" s="1568"/>
      <c r="Y12" s="3343"/>
      <c r="Z12" s="1148" t="str">
        <f t="shared" si="7"/>
        <v>土地使用年限（年）</v>
      </c>
      <c r="AA12" s="1569">
        <f t="shared" si="3"/>
        <v>0.96153846153846156</v>
      </c>
      <c r="AB12" s="1569">
        <f t="shared" si="4"/>
        <v>0.96153846153846156</v>
      </c>
      <c r="AC12" s="1569">
        <f t="shared" si="5"/>
        <v>0.96153846153846156</v>
      </c>
    </row>
    <row r="13" spans="1:30" ht="38.25" customHeight="1">
      <c r="A13" s="2915"/>
      <c r="B13" s="2919" t="s">
        <v>2759</v>
      </c>
      <c r="C13" s="533">
        <f>'数据-汇总表'!I7</f>
        <v>2.48</v>
      </c>
      <c r="D13" s="254">
        <v>100</v>
      </c>
      <c r="E13" s="532">
        <f>Sheet1!L2</f>
        <v>1.8</v>
      </c>
      <c r="F13" s="254">
        <f>LOOKUP(E13,82:82,83:83)-LOOKUP(C13,82:82,83:83)+100</f>
        <v>102</v>
      </c>
      <c r="G13" s="533">
        <f>Sheet1!L3</f>
        <v>2.14</v>
      </c>
      <c r="H13" s="254">
        <f>LOOKUP(G13,82:82,83:83)-LOOKUP(C13,82:82,83:83)+100</f>
        <v>100</v>
      </c>
      <c r="I13" s="532">
        <f>Sheet1!L4</f>
        <v>2.5</v>
      </c>
      <c r="J13" s="254">
        <f>LOOKUP(I13,82:82,83:83)-LOOKUP(C13,82:82,83:83)+100</f>
        <v>100</v>
      </c>
      <c r="K13" s="534">
        <v>2</v>
      </c>
      <c r="L13" s="2139"/>
      <c r="M13" s="2131"/>
      <c r="N13" s="2131"/>
      <c r="O13" s="2140"/>
      <c r="P13" s="3404"/>
      <c r="Q13" s="1149" t="str">
        <f t="shared" si="6"/>
        <v>容积率</v>
      </c>
      <c r="R13" s="1566" t="s">
        <v>8</v>
      </c>
      <c r="S13" s="1567">
        <f t="shared" si="0"/>
        <v>102</v>
      </c>
      <c r="T13" s="1566" t="s">
        <v>8</v>
      </c>
      <c r="U13" s="1567">
        <f t="shared" si="1"/>
        <v>100</v>
      </c>
      <c r="V13" s="1566" t="s">
        <v>8</v>
      </c>
      <c r="W13" s="1567">
        <f t="shared" si="2"/>
        <v>100</v>
      </c>
      <c r="X13" s="1568"/>
      <c r="Y13" s="3343"/>
      <c r="Z13" s="1148" t="str">
        <f t="shared" si="7"/>
        <v>容积率</v>
      </c>
      <c r="AA13" s="1569">
        <f t="shared" si="3"/>
        <v>0.98039215686274506</v>
      </c>
      <c r="AB13" s="1569">
        <f t="shared" si="4"/>
        <v>1</v>
      </c>
      <c r="AC13" s="1569">
        <f t="shared" si="5"/>
        <v>1</v>
      </c>
    </row>
    <row r="14" spans="1:30" s="1218" customFormat="1" ht="27">
      <c r="A14" s="2912"/>
      <c r="B14" s="2921" t="s">
        <v>2760</v>
      </c>
      <c r="C14" s="2908" t="s">
        <v>3215</v>
      </c>
      <c r="D14" s="537">
        <v>100</v>
      </c>
      <c r="E14" s="2908" t="s">
        <v>3214</v>
      </c>
      <c r="F14" s="254">
        <f>SUMIF(84:84,E14,85:85)-SUMIF(84:84,C14,85:85)+100</f>
        <v>100</v>
      </c>
      <c r="G14" s="2908" t="s">
        <v>3214</v>
      </c>
      <c r="H14" s="254">
        <f>SUMIF(84:84,G14,85:85)-SUMIF(84:84,C14,85:85)+100</f>
        <v>100</v>
      </c>
      <c r="I14" s="2908" t="s">
        <v>3214</v>
      </c>
      <c r="J14" s="254">
        <f>SUMIF(84:84,I14,85:85)-SUMIF(84:84,C14,85:85)+100</f>
        <v>100</v>
      </c>
      <c r="K14" s="530"/>
      <c r="L14" s="2134"/>
      <c r="M14" s="2131"/>
      <c r="N14" s="2131"/>
      <c r="O14" s="2136"/>
      <c r="P14" s="3404"/>
      <c r="Q14" s="1149" t="str">
        <f t="shared" si="6"/>
        <v>配建</v>
      </c>
      <c r="R14" s="1566" t="s">
        <v>8</v>
      </c>
      <c r="S14" s="1567">
        <f t="shared" si="0"/>
        <v>100</v>
      </c>
      <c r="T14" s="1566" t="s">
        <v>8</v>
      </c>
      <c r="U14" s="1567">
        <f t="shared" si="1"/>
        <v>100</v>
      </c>
      <c r="V14" s="1566" t="s">
        <v>8</v>
      </c>
      <c r="W14" s="1567">
        <f t="shared" si="2"/>
        <v>100</v>
      </c>
      <c r="X14" s="1568"/>
      <c r="Y14" s="3343"/>
      <c r="Z14" s="1148" t="str">
        <f t="shared" si="7"/>
        <v>配建</v>
      </c>
      <c r="AA14" s="1569">
        <f>D14/F14</f>
        <v>1</v>
      </c>
      <c r="AB14" s="1569">
        <f>D14/H14</f>
        <v>1</v>
      </c>
      <c r="AC14" s="1569">
        <f>D14/J14</f>
        <v>1</v>
      </c>
    </row>
    <row r="15" spans="1:30" ht="20.25">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404"/>
      <c r="Q15" s="1149">
        <f t="shared" si="6"/>
        <v>111</v>
      </c>
      <c r="R15" s="1566" t="s">
        <v>8</v>
      </c>
      <c r="S15" s="1567">
        <f t="shared" si="0"/>
        <v>100</v>
      </c>
      <c r="T15" s="1566" t="s">
        <v>8</v>
      </c>
      <c r="U15" s="1567">
        <f t="shared" si="1"/>
        <v>100</v>
      </c>
      <c r="V15" s="1566" t="s">
        <v>8</v>
      </c>
      <c r="W15" s="1567">
        <f t="shared" si="2"/>
        <v>100</v>
      </c>
      <c r="X15" s="1568"/>
      <c r="Y15" s="3343"/>
      <c r="Z15" s="1148">
        <f t="shared" si="7"/>
        <v>111</v>
      </c>
      <c r="AA15" s="1569">
        <f>D15/F15</f>
        <v>1</v>
      </c>
      <c r="AB15" s="1569">
        <f>D15/H15</f>
        <v>1</v>
      </c>
      <c r="AC15" s="1569">
        <f>D15/J15</f>
        <v>1</v>
      </c>
    </row>
    <row r="16" spans="1:30" ht="2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404"/>
      <c r="Q16" s="1149">
        <f t="shared" si="6"/>
        <v>111</v>
      </c>
      <c r="R16" s="1566" t="s">
        <v>8</v>
      </c>
      <c r="S16" s="1567">
        <f t="shared" si="0"/>
        <v>100</v>
      </c>
      <c r="T16" s="1566" t="s">
        <v>8</v>
      </c>
      <c r="U16" s="1567">
        <f t="shared" si="1"/>
        <v>100</v>
      </c>
      <c r="V16" s="1566" t="s">
        <v>8</v>
      </c>
      <c r="W16" s="1567">
        <f t="shared" si="2"/>
        <v>100</v>
      </c>
      <c r="X16" s="1568"/>
      <c r="Y16" s="3343"/>
      <c r="Z16" s="1148">
        <f t="shared" si="7"/>
        <v>111</v>
      </c>
      <c r="AA16" s="1569">
        <f>D16/F16</f>
        <v>1</v>
      </c>
      <c r="AB16" s="1569">
        <f>D16/H16</f>
        <v>1</v>
      </c>
      <c r="AC16" s="1569">
        <f>D16/J16</f>
        <v>1</v>
      </c>
    </row>
    <row r="17" spans="1:29" ht="85.5">
      <c r="A17" s="2909" t="s">
        <v>2755</v>
      </c>
      <c r="B17" s="577" t="s">
        <v>295</v>
      </c>
      <c r="C17" s="547" t="str">
        <f>估价对象房地状况!C15</f>
        <v>估价对象周边居住用地比例一般、居住小区规模和社区发展完善程度一般，有合生世界村、悦上城等小区，综合评价居住社区成熟度一般</v>
      </c>
      <c r="D17" s="550">
        <v>100</v>
      </c>
      <c r="E17" s="3182" t="s">
        <v>3217</v>
      </c>
      <c r="F17" s="548">
        <f>SUMIF(90:90,E18,91:91)-SUMIF(90:90,C18,91:91)+100</f>
        <v>103</v>
      </c>
      <c r="G17" s="3182" t="s">
        <v>3223</v>
      </c>
      <c r="H17" s="548">
        <f>SUMIF(90:90,G18,91:91)-SUMIF(90:90,C18,91:91)+100</f>
        <v>100</v>
      </c>
      <c r="I17" s="3182" t="s">
        <v>3258</v>
      </c>
      <c r="J17" s="548">
        <f>SUMIF(90:90,I18,91:91)-SUMIF(90:90,C18,91:91)+100</f>
        <v>97</v>
      </c>
      <c r="K17" s="534">
        <v>3</v>
      </c>
      <c r="L17" s="2141"/>
      <c r="M17" s="2131"/>
      <c r="N17" s="2131"/>
      <c r="O17" s="2140"/>
      <c r="P17" s="3406" t="s">
        <v>540</v>
      </c>
      <c r="Q17" s="1570" t="str">
        <f t="shared" si="6"/>
        <v>居住社区成熟度</v>
      </c>
      <c r="R17" s="1571" t="s">
        <v>8</v>
      </c>
      <c r="S17" s="1572">
        <f t="shared" si="0"/>
        <v>103</v>
      </c>
      <c r="T17" s="1571" t="s">
        <v>8</v>
      </c>
      <c r="U17" s="1572">
        <f t="shared" si="1"/>
        <v>100</v>
      </c>
      <c r="V17" s="1571" t="s">
        <v>8</v>
      </c>
      <c r="W17" s="1572">
        <f t="shared" si="2"/>
        <v>97</v>
      </c>
      <c r="X17" s="1565"/>
      <c r="Y17" s="3406" t="s">
        <v>540</v>
      </c>
      <c r="Z17" s="1573" t="str">
        <f t="shared" si="7"/>
        <v>居住社区成熟度</v>
      </c>
      <c r="AA17" s="1574">
        <f t="shared" si="3"/>
        <v>0.970873786407767</v>
      </c>
      <c r="AB17" s="1574">
        <f t="shared" si="4"/>
        <v>1</v>
      </c>
      <c r="AC17" s="1574">
        <f t="shared" si="5"/>
        <v>1.0309278350515463</v>
      </c>
    </row>
    <row r="18" spans="1:29" ht="20.25">
      <c r="A18" s="531"/>
      <c r="B18" s="552"/>
      <c r="C18" s="553" t="s">
        <v>3013</v>
      </c>
      <c r="D18" s="556"/>
      <c r="E18" s="553" t="s">
        <v>3011</v>
      </c>
      <c r="F18" s="554"/>
      <c r="G18" s="553" t="s">
        <v>3013</v>
      </c>
      <c r="H18" s="558"/>
      <c r="I18" s="557" t="s">
        <v>3033</v>
      </c>
      <c r="J18" s="554"/>
      <c r="K18" s="530"/>
      <c r="L18" s="2141"/>
      <c r="M18" s="2131"/>
      <c r="N18" s="2131"/>
      <c r="O18" s="2140"/>
      <c r="P18" s="3407"/>
      <c r="Q18" s="1570"/>
      <c r="R18" s="1571"/>
      <c r="S18" s="1572"/>
      <c r="T18" s="1571"/>
      <c r="U18" s="1572"/>
      <c r="V18" s="1571"/>
      <c r="W18" s="1572"/>
      <c r="X18" s="1565"/>
      <c r="Y18" s="3407"/>
      <c r="Z18" s="1573"/>
      <c r="AA18" s="1574">
        <v>1</v>
      </c>
      <c r="AB18" s="1574">
        <v>1</v>
      </c>
      <c r="AC18" s="1574">
        <v>1</v>
      </c>
    </row>
    <row r="19" spans="1:29" ht="44.25" customHeight="1">
      <c r="A19" s="531"/>
      <c r="B19" s="559" t="s">
        <v>541</v>
      </c>
      <c r="C19" s="560" t="str">
        <f>估价对象房地状况!C16</f>
        <v>周边以住宅底商为主，商业氛围较差，人流量较小，商业繁华度较差</v>
      </c>
      <c r="D19" s="562">
        <v>100</v>
      </c>
      <c r="E19" s="563"/>
      <c r="F19" s="558">
        <f>SUMIF(92:92,E20,93:93)-SUMIF(92:92,C20,93:93)+100</f>
        <v>103</v>
      </c>
      <c r="G19" s="561"/>
      <c r="H19" s="564">
        <f>SUMIF(92:92,G20,93:93)-SUMIF(92:92,C20,93:93)+100</f>
        <v>103</v>
      </c>
      <c r="I19" s="563"/>
      <c r="J19" s="564">
        <f>SUMIF(92:92,I20,93:93)-SUMIF(92:92,C20,93:93)+100</f>
        <v>100</v>
      </c>
      <c r="K19" s="534">
        <v>3</v>
      </c>
      <c r="L19" s="2141"/>
      <c r="M19" s="2131"/>
      <c r="N19" s="2131"/>
      <c r="O19" s="2140"/>
      <c r="P19" s="3407"/>
      <c r="Q19" s="1570" t="str">
        <f>B19</f>
        <v>商业繁华度</v>
      </c>
      <c r="R19" s="1571" t="s">
        <v>8</v>
      </c>
      <c r="S19" s="1572">
        <f>F19</f>
        <v>103</v>
      </c>
      <c r="T19" s="1571" t="s">
        <v>8</v>
      </c>
      <c r="U19" s="1572">
        <f>H19</f>
        <v>103</v>
      </c>
      <c r="V19" s="1571" t="s">
        <v>8</v>
      </c>
      <c r="W19" s="1572">
        <f>J19</f>
        <v>100</v>
      </c>
      <c r="X19" s="1565"/>
      <c r="Y19" s="3407"/>
      <c r="Z19" s="1573" t="str">
        <f>Q19</f>
        <v>商业繁华度</v>
      </c>
      <c r="AA19" s="1574">
        <f t="shared" si="3"/>
        <v>0.970873786407767</v>
      </c>
      <c r="AB19" s="1574">
        <f t="shared" si="4"/>
        <v>0.970873786407767</v>
      </c>
      <c r="AC19" s="1574">
        <f t="shared" si="5"/>
        <v>1</v>
      </c>
    </row>
    <row r="20" spans="1:29" ht="20.25">
      <c r="A20" s="531"/>
      <c r="B20" s="565"/>
      <c r="C20" s="566" t="s">
        <v>3033</v>
      </c>
      <c r="D20" s="562"/>
      <c r="E20" s="568" t="s">
        <v>3013</v>
      </c>
      <c r="F20" s="558"/>
      <c r="G20" s="567" t="s">
        <v>3013</v>
      </c>
      <c r="H20" s="554"/>
      <c r="I20" s="568" t="s">
        <v>3033</v>
      </c>
      <c r="J20" s="554"/>
      <c r="K20" s="530"/>
      <c r="L20" s="2141"/>
      <c r="M20" s="2131"/>
      <c r="N20" s="2131"/>
      <c r="O20" s="2140"/>
      <c r="P20" s="3407"/>
      <c r="Q20" s="1570"/>
      <c r="R20" s="1571"/>
      <c r="S20" s="1572"/>
      <c r="T20" s="1571"/>
      <c r="U20" s="1572"/>
      <c r="V20" s="1571"/>
      <c r="W20" s="1572"/>
      <c r="X20" s="1565"/>
      <c r="Y20" s="3407"/>
      <c r="Z20" s="1573"/>
      <c r="AA20" s="1574">
        <v>1</v>
      </c>
      <c r="AB20" s="1574">
        <v>1</v>
      </c>
      <c r="AC20" s="1574">
        <v>1</v>
      </c>
    </row>
    <row r="21" spans="1:29" ht="26.25" customHeight="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07"/>
      <c r="Q21" s="1570" t="str">
        <f>B21</f>
        <v>办公集聚程度</v>
      </c>
      <c r="R21" s="1571" t="s">
        <v>8</v>
      </c>
      <c r="S21" s="1572">
        <f>F21</f>
        <v>100</v>
      </c>
      <c r="T21" s="1571" t="s">
        <v>8</v>
      </c>
      <c r="U21" s="1572">
        <f>H21</f>
        <v>100</v>
      </c>
      <c r="V21" s="1571" t="s">
        <v>8</v>
      </c>
      <c r="W21" s="1572">
        <f>J21</f>
        <v>100</v>
      </c>
      <c r="X21" s="1565"/>
      <c r="Y21" s="3407"/>
      <c r="Z21" s="1573" t="str">
        <f>Q21</f>
        <v>办公集聚程度</v>
      </c>
      <c r="AA21" s="1574">
        <f t="shared" si="3"/>
        <v>1</v>
      </c>
      <c r="AB21" s="1574">
        <f t="shared" si="4"/>
        <v>1</v>
      </c>
      <c r="AC21" s="1574">
        <f t="shared" si="5"/>
        <v>1</v>
      </c>
    </row>
    <row r="22" spans="1:29" ht="16.5" customHeight="1">
      <c r="A22" s="531"/>
      <c r="B22" s="565"/>
      <c r="C22" s="553"/>
      <c r="D22" s="556"/>
      <c r="E22" s="557"/>
      <c r="F22" s="554"/>
      <c r="G22" s="555"/>
      <c r="H22" s="554"/>
      <c r="I22" s="557"/>
      <c r="J22" s="554"/>
      <c r="K22" s="530"/>
      <c r="L22" s="2141"/>
      <c r="M22" s="2131"/>
      <c r="N22" s="2131"/>
      <c r="O22" s="2140"/>
      <c r="P22" s="3407"/>
      <c r="Q22" s="1570"/>
      <c r="R22" s="1571"/>
      <c r="S22" s="1572"/>
      <c r="T22" s="1571"/>
      <c r="U22" s="1572"/>
      <c r="V22" s="1571"/>
      <c r="W22" s="1572"/>
      <c r="X22" s="1565"/>
      <c r="Y22" s="3407"/>
      <c r="Z22" s="1573"/>
      <c r="AA22" s="1574">
        <v>1</v>
      </c>
      <c r="AB22" s="1574">
        <v>1</v>
      </c>
      <c r="AC22" s="1574">
        <v>1</v>
      </c>
    </row>
    <row r="23" spans="1:29" ht="85.5">
      <c r="A23" s="531"/>
      <c r="B23" s="559" t="s">
        <v>543</v>
      </c>
      <c r="C23" s="572" t="str">
        <f>估价对象房地状况!C18</f>
        <v>估价对象周边道路状况一般、公共交通通达情况一般、停车便捷程度较好，有846、821等公交线路，综合评价交通便捷度较差</v>
      </c>
      <c r="D23" s="562">
        <v>100</v>
      </c>
      <c r="E23" s="3184" t="s">
        <v>3218</v>
      </c>
      <c r="F23" s="564">
        <f>SUMIF(96:96,E24,97:97)-SUMIF(96:96,C24,97:97)+100</f>
        <v>104</v>
      </c>
      <c r="G23" s="3184" t="s">
        <v>3224</v>
      </c>
      <c r="H23" s="558">
        <f>SUMIF(96:96,G24,97:97)-SUMIF(96:96,C24,97:97)+100</f>
        <v>104</v>
      </c>
      <c r="I23" s="3184" t="s">
        <v>3259</v>
      </c>
      <c r="J23" s="558">
        <f>SUMIF(96:96,I24,97:97)-SUMIF(96:96,C24,97:97)+100</f>
        <v>100</v>
      </c>
      <c r="K23" s="534">
        <v>2</v>
      </c>
      <c r="L23" s="2141"/>
      <c r="M23" s="2131"/>
      <c r="N23" s="2131"/>
      <c r="O23" s="2140"/>
      <c r="P23" s="3407"/>
      <c r="Q23" s="1570" t="str">
        <f>B23</f>
        <v>交通便捷度</v>
      </c>
      <c r="R23" s="1571" t="s">
        <v>8</v>
      </c>
      <c r="S23" s="1572">
        <f>F23</f>
        <v>104</v>
      </c>
      <c r="T23" s="1571" t="s">
        <v>8</v>
      </c>
      <c r="U23" s="1572">
        <f>H23</f>
        <v>104</v>
      </c>
      <c r="V23" s="1571" t="s">
        <v>8</v>
      </c>
      <c r="W23" s="1572">
        <f>J23</f>
        <v>100</v>
      </c>
      <c r="X23" s="1565"/>
      <c r="Y23" s="3407"/>
      <c r="Z23" s="1573" t="str">
        <f>Q23</f>
        <v>交通便捷度</v>
      </c>
      <c r="AA23" s="1574">
        <f t="shared" si="3"/>
        <v>0.96153846153846156</v>
      </c>
      <c r="AB23" s="1574">
        <f t="shared" si="4"/>
        <v>0.96153846153846156</v>
      </c>
      <c r="AC23" s="1574">
        <f t="shared" si="5"/>
        <v>1</v>
      </c>
    </row>
    <row r="24" spans="1:29" ht="20.25">
      <c r="A24" s="531"/>
      <c r="B24" s="577"/>
      <c r="C24" s="553" t="s">
        <v>3033</v>
      </c>
      <c r="D24" s="556"/>
      <c r="E24" s="557" t="s">
        <v>3011</v>
      </c>
      <c r="F24" s="554"/>
      <c r="G24" s="557" t="s">
        <v>3011</v>
      </c>
      <c r="H24" s="554"/>
      <c r="I24" s="557" t="s">
        <v>3033</v>
      </c>
      <c r="J24" s="554"/>
      <c r="K24" s="530"/>
      <c r="L24" s="2141"/>
      <c r="M24" s="2131"/>
      <c r="N24" s="2131"/>
      <c r="O24" s="2140"/>
      <c r="P24" s="3407"/>
      <c r="Q24" s="1570"/>
      <c r="R24" s="1571"/>
      <c r="S24" s="1572"/>
      <c r="T24" s="1571"/>
      <c r="U24" s="1572"/>
      <c r="V24" s="1571"/>
      <c r="W24" s="1572"/>
      <c r="X24" s="1565"/>
      <c r="Y24" s="3407"/>
      <c r="Z24" s="1573"/>
      <c r="AA24" s="1574">
        <v>1</v>
      </c>
      <c r="AB24" s="1574">
        <v>1</v>
      </c>
      <c r="AC24" s="1574">
        <v>1</v>
      </c>
    </row>
    <row r="25" spans="1:29" ht="45.75" customHeight="1">
      <c r="A25" s="514"/>
      <c r="B25" s="258" t="s">
        <v>544</v>
      </c>
      <c r="C25" s="572" t="str">
        <f>估价对象房地状况!C19</f>
        <v>周边工业用地比例较高，区域土地利用方向一般</v>
      </c>
      <c r="D25" s="562">
        <v>100</v>
      </c>
      <c r="E25" s="563"/>
      <c r="F25" s="564">
        <f>SUMIF(98:98,E26,99:99)-SUMIF(98:98,C26,99:99)+100</f>
        <v>102</v>
      </c>
      <c r="G25" s="561"/>
      <c r="H25" s="558">
        <f>SUMIF(98:98,G26,99:99)-SUMIF(98:98,C26,99:99)+100</f>
        <v>102</v>
      </c>
      <c r="I25" s="563"/>
      <c r="J25" s="558">
        <f>SUMIF(98:98,I26,99:99)-SUMIF(98:98,C26,99:99)+100</f>
        <v>102</v>
      </c>
      <c r="K25" s="534">
        <v>2</v>
      </c>
      <c r="L25" s="2141"/>
      <c r="M25" s="2131"/>
      <c r="N25" s="2131"/>
      <c r="O25" s="2140"/>
      <c r="P25" s="3407"/>
      <c r="Q25" s="1570" t="str">
        <f t="shared" ref="Q25:Q39" si="8">B25</f>
        <v>区域土地利用方向</v>
      </c>
      <c r="R25" s="1571" t="s">
        <v>8</v>
      </c>
      <c r="S25" s="1572">
        <f>F25</f>
        <v>102</v>
      </c>
      <c r="T25" s="1571" t="s">
        <v>8</v>
      </c>
      <c r="U25" s="1572">
        <f>H25</f>
        <v>102</v>
      </c>
      <c r="V25" s="1571" t="s">
        <v>8</v>
      </c>
      <c r="W25" s="1572">
        <f>J25</f>
        <v>102</v>
      </c>
      <c r="X25" s="1565"/>
      <c r="Y25" s="3407"/>
      <c r="Z25" s="1573" t="str">
        <f>Q25</f>
        <v>区域土地利用方向</v>
      </c>
      <c r="AA25" s="1574">
        <f t="shared" si="3"/>
        <v>0.98039215686274506</v>
      </c>
      <c r="AB25" s="1574">
        <f t="shared" si="4"/>
        <v>0.98039215686274506</v>
      </c>
      <c r="AC25" s="1574">
        <f t="shared" si="5"/>
        <v>0.98039215686274506</v>
      </c>
    </row>
    <row r="26" spans="1:29" ht="20.25">
      <c r="A26" s="514"/>
      <c r="B26" s="1005"/>
      <c r="C26" s="3204" t="s">
        <v>3013</v>
      </c>
      <c r="D26" s="556"/>
      <c r="E26" s="557" t="s">
        <v>3011</v>
      </c>
      <c r="F26" s="554"/>
      <c r="G26" s="555" t="s">
        <v>3011</v>
      </c>
      <c r="H26" s="554"/>
      <c r="I26" s="557" t="s">
        <v>3011</v>
      </c>
      <c r="J26" s="554"/>
      <c r="K26" s="530"/>
      <c r="L26" s="2141"/>
      <c r="M26" s="2131"/>
      <c r="N26" s="2131"/>
      <c r="O26" s="2140"/>
      <c r="P26" s="3407"/>
      <c r="Q26" s="1570"/>
      <c r="R26" s="1571"/>
      <c r="S26" s="1572"/>
      <c r="T26" s="1571"/>
      <c r="U26" s="1572"/>
      <c r="V26" s="1571"/>
      <c r="W26" s="1572"/>
      <c r="X26" s="1565"/>
      <c r="Y26" s="3407"/>
      <c r="Z26" s="1573"/>
      <c r="AA26" s="1574"/>
      <c r="AB26" s="1574"/>
      <c r="AC26" s="1574"/>
    </row>
    <row r="27" spans="1:29" ht="69">
      <c r="A27" s="514"/>
      <c r="B27" s="577" t="s">
        <v>545</v>
      </c>
      <c r="C27" s="560" t="str">
        <f>估价对象房地状况!C20</f>
        <v>综合评价环境状况较差</v>
      </c>
      <c r="D27" s="562">
        <v>100</v>
      </c>
      <c r="E27" s="563" t="s">
        <v>3220</v>
      </c>
      <c r="F27" s="558">
        <f>SUMIF(100:100,E28,101:101)-SUMIF(100:100,C28,101:101)+100</f>
        <v>104</v>
      </c>
      <c r="G27" s="3183" t="s">
        <v>3225</v>
      </c>
      <c r="H27" s="558">
        <f>SUMIF(100:100,G28,101:101)-SUMIF(100:100,C28,101:101)+100</f>
        <v>102</v>
      </c>
      <c r="I27" s="3184" t="s">
        <v>3037</v>
      </c>
      <c r="J27" s="558">
        <f>SUMIF(100:100,I28,101:101)-SUMIF(100:100,C28,101:101)+100</f>
        <v>100</v>
      </c>
      <c r="K27" s="534">
        <v>2</v>
      </c>
      <c r="L27" s="2141"/>
      <c r="M27" s="2131"/>
      <c r="N27" s="2131"/>
      <c r="O27" s="2140"/>
      <c r="P27" s="3407"/>
      <c r="Q27" s="1570" t="str">
        <f t="shared" si="8"/>
        <v>自然及人文环境状况</v>
      </c>
      <c r="R27" s="1571" t="s">
        <v>8</v>
      </c>
      <c r="S27" s="1572">
        <f>F27</f>
        <v>104</v>
      </c>
      <c r="T27" s="1571" t="s">
        <v>8</v>
      </c>
      <c r="U27" s="1572">
        <f>H27</f>
        <v>102</v>
      </c>
      <c r="V27" s="1571" t="s">
        <v>8</v>
      </c>
      <c r="W27" s="1572">
        <f>J27</f>
        <v>100</v>
      </c>
      <c r="X27" s="1565"/>
      <c r="Y27" s="3407"/>
      <c r="Z27" s="1573" t="str">
        <f>Q27</f>
        <v>自然及人文环境状况</v>
      </c>
      <c r="AA27" s="1574">
        <f t="shared" si="3"/>
        <v>0.96153846153846156</v>
      </c>
      <c r="AB27" s="1574">
        <f t="shared" si="4"/>
        <v>0.98039215686274506</v>
      </c>
      <c r="AC27" s="1574">
        <f t="shared" si="5"/>
        <v>1</v>
      </c>
    </row>
    <row r="28" spans="1:29" ht="20.25">
      <c r="A28" s="514"/>
      <c r="B28" s="565"/>
      <c r="C28" s="553" t="s">
        <v>3033</v>
      </c>
      <c r="D28" s="556"/>
      <c r="E28" s="553" t="s">
        <v>3011</v>
      </c>
      <c r="F28" s="554"/>
      <c r="G28" s="553" t="s">
        <v>3013</v>
      </c>
      <c r="H28" s="554"/>
      <c r="I28" s="575" t="s">
        <v>3033</v>
      </c>
      <c r="J28" s="554"/>
      <c r="K28" s="530"/>
      <c r="L28" s="2141"/>
      <c r="M28" s="2131"/>
      <c r="N28" s="2131"/>
      <c r="O28" s="2140"/>
      <c r="P28" s="3407"/>
      <c r="Q28" s="1570"/>
      <c r="R28" s="1571"/>
      <c r="S28" s="1572"/>
      <c r="T28" s="1571"/>
      <c r="U28" s="1572"/>
      <c r="V28" s="1571"/>
      <c r="W28" s="1572"/>
      <c r="X28" s="1565"/>
      <c r="Y28" s="3407"/>
      <c r="Z28" s="1573"/>
      <c r="AA28" s="1574">
        <v>1</v>
      </c>
      <c r="AB28" s="1574">
        <v>1</v>
      </c>
      <c r="AC28" s="1574">
        <v>1</v>
      </c>
    </row>
    <row r="29" spans="1:29" s="1218" customFormat="1" ht="39.75" customHeight="1">
      <c r="A29" s="576"/>
      <c r="B29" s="2590" t="s">
        <v>2549</v>
      </c>
      <c r="C29" s="572" t="str">
        <f>估价对象房地状况!C21</f>
        <v>估价对象所在区域公共配套设施齐备情况较差</v>
      </c>
      <c r="D29" s="562">
        <v>100</v>
      </c>
      <c r="E29" s="563"/>
      <c r="F29" s="558">
        <f>SUMIF(102:102,E30,103:103)-SUMIF(102:102,C30,103:103)+100</f>
        <v>104</v>
      </c>
      <c r="G29" s="561"/>
      <c r="H29" s="558">
        <f>SUMIF(102:102,G30,103:103)-SUMIF(102:102,C30,103:103)+100</f>
        <v>102</v>
      </c>
      <c r="I29" s="563"/>
      <c r="J29" s="558">
        <f>SUMIF(102:102,I30,103:103)-SUMIF(102:102,C30,103:103)+100</f>
        <v>98</v>
      </c>
      <c r="K29" s="534">
        <v>2</v>
      </c>
      <c r="L29" s="2134"/>
      <c r="M29" s="2131"/>
      <c r="N29" s="2131"/>
      <c r="O29" s="2136"/>
      <c r="P29" s="3407"/>
      <c r="Q29" s="1149" t="str">
        <f t="shared" si="8"/>
        <v>公共配套设施</v>
      </c>
      <c r="R29" s="1566" t="s">
        <v>8</v>
      </c>
      <c r="S29" s="1567">
        <f>F29</f>
        <v>104</v>
      </c>
      <c r="T29" s="1566" t="s">
        <v>8</v>
      </c>
      <c r="U29" s="1567">
        <f>H29</f>
        <v>102</v>
      </c>
      <c r="V29" s="1566" t="s">
        <v>8</v>
      </c>
      <c r="W29" s="1567">
        <f>J29</f>
        <v>98</v>
      </c>
      <c r="X29" s="1568"/>
      <c r="Y29" s="3407"/>
      <c r="Z29" s="1148" t="str">
        <f>Q29</f>
        <v>公共配套设施</v>
      </c>
      <c r="AA29" s="1574">
        <f>D29/F29</f>
        <v>0.96153846153846156</v>
      </c>
      <c r="AB29" s="1574">
        <f>D29/H29</f>
        <v>0.98039215686274506</v>
      </c>
      <c r="AC29" s="1574">
        <f>D29/J29</f>
        <v>1.0204081632653061</v>
      </c>
    </row>
    <row r="30" spans="1:29" s="1218" customFormat="1" ht="20.25">
      <c r="A30" s="576"/>
      <c r="B30" s="565"/>
      <c r="C30" s="578" t="s">
        <v>3033</v>
      </c>
      <c r="D30" s="556"/>
      <c r="E30" s="575" t="s">
        <v>3011</v>
      </c>
      <c r="F30" s="554"/>
      <c r="G30" s="553" t="s">
        <v>3013</v>
      </c>
      <c r="H30" s="554"/>
      <c r="I30" s="575" t="s">
        <v>3034</v>
      </c>
      <c r="J30" s="554"/>
      <c r="K30" s="530"/>
      <c r="L30" s="2134"/>
      <c r="M30" s="2131"/>
      <c r="N30" s="2131"/>
      <c r="O30" s="2136"/>
      <c r="P30" s="3407"/>
      <c r="Q30" s="1149"/>
      <c r="R30" s="1566"/>
      <c r="S30" s="1567"/>
      <c r="T30" s="1566"/>
      <c r="U30" s="1567"/>
      <c r="V30" s="1566"/>
      <c r="W30" s="1567"/>
      <c r="X30" s="1568"/>
      <c r="Y30" s="3407"/>
      <c r="Z30" s="1148"/>
      <c r="AA30" s="1574">
        <v>1</v>
      </c>
      <c r="AB30" s="1574">
        <v>1</v>
      </c>
      <c r="AC30" s="1574">
        <v>1</v>
      </c>
    </row>
    <row r="31" spans="1:29" s="1218" customFormat="1" ht="20.25">
      <c r="A31" s="576"/>
      <c r="B31" s="2590" t="s">
        <v>2550</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407"/>
      <c r="Q31" s="2577" t="str">
        <f t="shared" ref="Q31" si="9">B31</f>
        <v>基础设施水平</v>
      </c>
      <c r="R31" s="1566" t="s">
        <v>8</v>
      </c>
      <c r="S31" s="1567">
        <f>F31</f>
        <v>100</v>
      </c>
      <c r="T31" s="1566" t="s">
        <v>8</v>
      </c>
      <c r="U31" s="1567">
        <f>H31</f>
        <v>100</v>
      </c>
      <c r="V31" s="1566" t="s">
        <v>8</v>
      </c>
      <c r="W31" s="1567">
        <f>J31</f>
        <v>100</v>
      </c>
      <c r="X31" s="1568"/>
      <c r="Y31" s="3407"/>
      <c r="Z31" s="2574" t="str">
        <f>Q31</f>
        <v>基础设施水平</v>
      </c>
      <c r="AA31" s="1574">
        <f>D31/F31</f>
        <v>1</v>
      </c>
      <c r="AB31" s="1574">
        <f>D31/H31</f>
        <v>1</v>
      </c>
      <c r="AC31" s="1574">
        <f>D31/J31</f>
        <v>1</v>
      </c>
    </row>
    <row r="32" spans="1:29" s="1218" customFormat="1" ht="20.25">
      <c r="A32" s="576"/>
      <c r="B32" s="565"/>
      <c r="C32" s="578" t="s">
        <v>3009</v>
      </c>
      <c r="D32" s="556"/>
      <c r="E32" s="578" t="s">
        <v>3009</v>
      </c>
      <c r="F32" s="554"/>
      <c r="G32" s="578" t="s">
        <v>3009</v>
      </c>
      <c r="H32" s="554"/>
      <c r="I32" s="578" t="s">
        <v>3009</v>
      </c>
      <c r="J32" s="554"/>
      <c r="K32" s="530"/>
      <c r="L32" s="2134"/>
      <c r="M32" s="2131"/>
      <c r="N32" s="2131"/>
      <c r="O32" s="2136"/>
      <c r="P32" s="3407"/>
      <c r="Q32" s="2577"/>
      <c r="R32" s="1566"/>
      <c r="S32" s="1567"/>
      <c r="T32" s="1566"/>
      <c r="U32" s="1567"/>
      <c r="V32" s="1566"/>
      <c r="W32" s="1567"/>
      <c r="X32" s="1568"/>
      <c r="Y32" s="3407"/>
      <c r="Z32" s="2574"/>
      <c r="AA32" s="1574">
        <v>1</v>
      </c>
      <c r="AB32" s="1574">
        <v>1</v>
      </c>
      <c r="AC32" s="1574">
        <v>1</v>
      </c>
    </row>
    <row r="33" spans="1:29" ht="20.25">
      <c r="A33" s="531"/>
      <c r="B33" s="565" t="s">
        <v>547</v>
      </c>
      <c r="C33" s="579" t="s">
        <v>3265</v>
      </c>
      <c r="D33" s="574">
        <v>100</v>
      </c>
      <c r="E33" s="582" t="s">
        <v>3266</v>
      </c>
      <c r="F33" s="539">
        <f>SUMIF(106:106,E33,107:107)-SUMIF(106:106,C33,107:107)+100</f>
        <v>101</v>
      </c>
      <c r="G33" s="579" t="s">
        <v>3266</v>
      </c>
      <c r="H33" s="539">
        <f>SUMIF(106:106,G33,107:107)-SUMIF(106:106,C33,107:107)+100</f>
        <v>101</v>
      </c>
      <c r="I33" s="579" t="s">
        <v>3265</v>
      </c>
      <c r="J33" s="539">
        <f>SUMIF(106:106,I33,107:107)-SUMIF(106:106,C33,107:107)+100</f>
        <v>100</v>
      </c>
      <c r="K33" s="534">
        <v>1</v>
      </c>
      <c r="L33" s="2141"/>
      <c r="M33" s="2131"/>
      <c r="N33" s="2131"/>
      <c r="O33" s="2140"/>
      <c r="P33" s="3407"/>
      <c r="Q33" s="1570" t="str">
        <f t="shared" si="8"/>
        <v>临街状况</v>
      </c>
      <c r="R33" s="1571" t="s">
        <v>8</v>
      </c>
      <c r="S33" s="1572">
        <f t="shared" ref="S33:S47" si="10">F33</f>
        <v>101</v>
      </c>
      <c r="T33" s="1571" t="s">
        <v>8</v>
      </c>
      <c r="U33" s="1572">
        <f t="shared" ref="U33:U47" si="11">H33</f>
        <v>101</v>
      </c>
      <c r="V33" s="1571" t="s">
        <v>8</v>
      </c>
      <c r="W33" s="1572">
        <f t="shared" ref="W33:W47" si="12">J33</f>
        <v>100</v>
      </c>
      <c r="X33" s="1565"/>
      <c r="Y33" s="3407"/>
      <c r="Z33" s="1573" t="str">
        <f t="shared" ref="Z33:Z47" si="13">Q33</f>
        <v>临街状况</v>
      </c>
      <c r="AA33" s="1574">
        <f t="shared" si="3"/>
        <v>0.99009900990099009</v>
      </c>
      <c r="AB33" s="1574">
        <f t="shared" si="4"/>
        <v>0.99009900990099009</v>
      </c>
      <c r="AC33" s="1574">
        <f t="shared" si="5"/>
        <v>1</v>
      </c>
    </row>
    <row r="34" spans="1:29" ht="27">
      <c r="A34" s="531"/>
      <c r="B34" s="577" t="s">
        <v>548</v>
      </c>
      <c r="C34" s="3183" t="s">
        <v>3012</v>
      </c>
      <c r="D34" s="562">
        <v>100</v>
      </c>
      <c r="E34" s="3184" t="s">
        <v>3222</v>
      </c>
      <c r="F34" s="558">
        <f>SUMIF(108:108,E35,109:109)-SUMIF(108:108,C35,109:109)+100</f>
        <v>103</v>
      </c>
      <c r="G34" s="3183" t="s">
        <v>3226</v>
      </c>
      <c r="H34" s="558">
        <f>SUMIF(108:108,G35,109:109)-SUMIF(108:108,C35,109:109)+100</f>
        <v>101</v>
      </c>
      <c r="I34" s="3184" t="s">
        <v>3260</v>
      </c>
      <c r="J34" s="558">
        <f>SUMIF(108:108,I35,109:109)-SUMIF(108:108,C35,109:109)+100</f>
        <v>100</v>
      </c>
      <c r="K34" s="534">
        <v>1</v>
      </c>
      <c r="L34" s="2141"/>
      <c r="M34" s="2131"/>
      <c r="N34" s="2131"/>
      <c r="O34" s="2140"/>
      <c r="P34" s="3407"/>
      <c r="Q34" s="1570" t="str">
        <f t="shared" si="8"/>
        <v>毗邻道路的类型与等级</v>
      </c>
      <c r="R34" s="1571" t="s">
        <v>8</v>
      </c>
      <c r="S34" s="1572">
        <f t="shared" si="10"/>
        <v>103</v>
      </c>
      <c r="T34" s="1571" t="s">
        <v>8</v>
      </c>
      <c r="U34" s="1572">
        <f t="shared" si="11"/>
        <v>101</v>
      </c>
      <c r="V34" s="1571" t="s">
        <v>8</v>
      </c>
      <c r="W34" s="1572">
        <f t="shared" si="12"/>
        <v>100</v>
      </c>
      <c r="X34" s="1565"/>
      <c r="Y34" s="3407"/>
      <c r="Z34" s="1573" t="str">
        <f t="shared" si="13"/>
        <v>毗邻道路的类型与等级</v>
      </c>
      <c r="AA34" s="1574">
        <f t="shared" si="3"/>
        <v>0.970873786407767</v>
      </c>
      <c r="AB34" s="1574">
        <f t="shared" si="4"/>
        <v>0.99009900990099009</v>
      </c>
      <c r="AC34" s="1574">
        <f t="shared" si="5"/>
        <v>1</v>
      </c>
    </row>
    <row r="35" spans="1:29" ht="20.25">
      <c r="A35" s="531"/>
      <c r="B35" s="565"/>
      <c r="C35" s="553" t="s">
        <v>3019</v>
      </c>
      <c r="D35" s="556"/>
      <c r="E35" s="553" t="s">
        <v>3221</v>
      </c>
      <c r="F35" s="554"/>
      <c r="G35" s="553" t="s">
        <v>3035</v>
      </c>
      <c r="H35" s="554"/>
      <c r="I35" s="553" t="s">
        <v>3019</v>
      </c>
      <c r="J35" s="554"/>
      <c r="K35" s="580"/>
      <c r="L35" s="2141"/>
      <c r="M35" s="2131"/>
      <c r="N35" s="2131"/>
      <c r="O35" s="2140"/>
      <c r="P35" s="3407"/>
      <c r="Q35" s="1570"/>
      <c r="R35" s="1571"/>
      <c r="S35" s="1572"/>
      <c r="T35" s="1571"/>
      <c r="U35" s="1572"/>
      <c r="V35" s="1571"/>
      <c r="W35" s="1572"/>
      <c r="X35" s="1565"/>
      <c r="Y35" s="3407"/>
      <c r="Z35" s="1573"/>
      <c r="AA35" s="1574">
        <v>1</v>
      </c>
      <c r="AB35" s="1574">
        <v>1</v>
      </c>
      <c r="AC35" s="1574">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07"/>
      <c r="Q36" s="1570" t="str">
        <f t="shared" si="8"/>
        <v>土地级别</v>
      </c>
      <c r="R36" s="1571" t="s">
        <v>8</v>
      </c>
      <c r="S36" s="1572">
        <f t="shared" si="10"/>
        <v>100</v>
      </c>
      <c r="T36" s="1571" t="s">
        <v>8</v>
      </c>
      <c r="U36" s="1572">
        <f t="shared" si="11"/>
        <v>100</v>
      </c>
      <c r="V36" s="1571" t="s">
        <v>8</v>
      </c>
      <c r="W36" s="1572">
        <f t="shared" si="12"/>
        <v>100</v>
      </c>
      <c r="X36" s="1565"/>
      <c r="Y36" s="3407"/>
      <c r="Z36" s="1573" t="str">
        <f t="shared" si="13"/>
        <v>土地级别</v>
      </c>
      <c r="AA36" s="1574">
        <f t="shared" si="3"/>
        <v>1</v>
      </c>
      <c r="AB36" s="1574">
        <f t="shared" si="4"/>
        <v>1</v>
      </c>
      <c r="AC36" s="1574">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07"/>
      <c r="Q37" s="1570">
        <f t="shared" si="8"/>
        <v>111</v>
      </c>
      <c r="R37" s="1571" t="s">
        <v>8</v>
      </c>
      <c r="S37" s="1572">
        <f t="shared" si="10"/>
        <v>100</v>
      </c>
      <c r="T37" s="1571" t="s">
        <v>8</v>
      </c>
      <c r="U37" s="1572">
        <f t="shared" si="11"/>
        <v>100</v>
      </c>
      <c r="V37" s="1571" t="s">
        <v>8</v>
      </c>
      <c r="W37" s="1572">
        <f t="shared" si="12"/>
        <v>100</v>
      </c>
      <c r="X37" s="1565"/>
      <c r="Y37" s="3407"/>
      <c r="Z37" s="1573">
        <f t="shared" si="13"/>
        <v>111</v>
      </c>
      <c r="AA37" s="1574">
        <f t="shared" si="3"/>
        <v>1</v>
      </c>
      <c r="AB37" s="1574">
        <f t="shared" si="4"/>
        <v>1</v>
      </c>
      <c r="AC37" s="1574">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08" t="s">
        <v>550</v>
      </c>
      <c r="Q38" s="1570">
        <f t="shared" si="8"/>
        <v>111</v>
      </c>
      <c r="R38" s="1571" t="s">
        <v>8</v>
      </c>
      <c r="S38" s="1572">
        <f t="shared" si="10"/>
        <v>100</v>
      </c>
      <c r="T38" s="1571" t="s">
        <v>8</v>
      </c>
      <c r="U38" s="1572">
        <f t="shared" si="11"/>
        <v>100</v>
      </c>
      <c r="V38" s="1571" t="s">
        <v>8</v>
      </c>
      <c r="W38" s="1572">
        <f t="shared" si="12"/>
        <v>100</v>
      </c>
      <c r="X38" s="1565"/>
      <c r="Y38" s="3409" t="s">
        <v>550</v>
      </c>
      <c r="Z38" s="1573">
        <f t="shared" si="13"/>
        <v>111</v>
      </c>
      <c r="AA38" s="1574">
        <f t="shared" si="3"/>
        <v>1</v>
      </c>
      <c r="AB38" s="1574">
        <f t="shared" si="4"/>
        <v>1</v>
      </c>
      <c r="AC38" s="1574">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09"/>
      <c r="Q39" s="1570">
        <f t="shared" si="8"/>
        <v>111</v>
      </c>
      <c r="R39" s="1575" t="s">
        <v>8</v>
      </c>
      <c r="S39" s="1576">
        <f t="shared" si="10"/>
        <v>100</v>
      </c>
      <c r="T39" s="1575" t="s">
        <v>8</v>
      </c>
      <c r="U39" s="1576">
        <f t="shared" si="11"/>
        <v>100</v>
      </c>
      <c r="V39" s="1575" t="s">
        <v>8</v>
      </c>
      <c r="W39" s="1576">
        <f t="shared" si="12"/>
        <v>100</v>
      </c>
      <c r="X39" s="1577"/>
      <c r="Y39" s="3409"/>
      <c r="Z39" s="1578">
        <f t="shared" si="13"/>
        <v>111</v>
      </c>
      <c r="AA39" s="1574">
        <f t="shared" si="3"/>
        <v>1</v>
      </c>
      <c r="AB39" s="1574">
        <f t="shared" si="4"/>
        <v>1</v>
      </c>
      <c r="AC39" s="1574">
        <f t="shared" si="5"/>
        <v>1</v>
      </c>
    </row>
    <row r="40" spans="1:29" ht="20.25">
      <c r="A40" s="2906" t="s">
        <v>2756</v>
      </c>
      <c r="B40" s="594" t="s">
        <v>552</v>
      </c>
      <c r="C40" s="595">
        <f>'数据-汇总表'!D3</f>
        <v>86802.49</v>
      </c>
      <c r="D40" s="596">
        <v>100</v>
      </c>
      <c r="E40" s="595">
        <f>Sheet1!J2</f>
        <v>20291.37</v>
      </c>
      <c r="F40" s="596">
        <f>LOOKUP(E40,119:119,120:120)-LOOKUP(C40,119:119,120:120)+100</f>
        <v>96</v>
      </c>
      <c r="G40" s="595">
        <f>Sheet1!J3</f>
        <v>72996.72</v>
      </c>
      <c r="H40" s="596">
        <f>LOOKUP(G40,119:119,120:120)-LOOKUP(C40,119:119,120:120)+100</f>
        <v>100</v>
      </c>
      <c r="I40" s="597">
        <f>Sheet1!K4</f>
        <v>97998</v>
      </c>
      <c r="J40" s="596">
        <f>LOOKUP(I40,119:119,120:120)-LOOKUP(C40,119:119,120:120)+100</f>
        <v>102</v>
      </c>
      <c r="K40" s="580"/>
      <c r="L40" s="2141"/>
      <c r="M40" s="2131"/>
      <c r="N40" s="2131"/>
      <c r="O40" s="2140"/>
      <c r="P40" s="3409"/>
      <c r="Q40" s="1570" t="str">
        <f>B40</f>
        <v>宗地面积</v>
      </c>
      <c r="R40" s="1571" t="s">
        <v>8</v>
      </c>
      <c r="S40" s="1572">
        <f t="shared" si="10"/>
        <v>96</v>
      </c>
      <c r="T40" s="1571" t="s">
        <v>8</v>
      </c>
      <c r="U40" s="1572">
        <f t="shared" si="11"/>
        <v>100</v>
      </c>
      <c r="V40" s="1571" t="s">
        <v>8</v>
      </c>
      <c r="W40" s="1572">
        <f t="shared" si="12"/>
        <v>102</v>
      </c>
      <c r="X40" s="1565"/>
      <c r="Y40" s="3409"/>
      <c r="Z40" s="1573" t="str">
        <f t="shared" si="13"/>
        <v>宗地面积</v>
      </c>
      <c r="AA40" s="1574">
        <f t="shared" si="3"/>
        <v>1.0416666666666667</v>
      </c>
      <c r="AB40" s="1574">
        <f t="shared" si="4"/>
        <v>1</v>
      </c>
      <c r="AC40" s="1574">
        <f t="shared" si="5"/>
        <v>0.98039215686274506</v>
      </c>
    </row>
    <row r="41" spans="1:29" ht="20.25">
      <c r="A41" s="593"/>
      <c r="B41" s="526" t="s">
        <v>553</v>
      </c>
      <c r="C41" s="598" t="s">
        <v>3212</v>
      </c>
      <c r="D41" s="539">
        <v>100</v>
      </c>
      <c r="E41" s="598" t="s">
        <v>3212</v>
      </c>
      <c r="F41" s="539">
        <f>SUMIF(121:121,E41,122:122)-SUMIF(121:121,C41,122:122)+100</f>
        <v>100</v>
      </c>
      <c r="G41" s="598" t="s">
        <v>3211</v>
      </c>
      <c r="H41" s="539">
        <f>SUMIF(121:121,G41,122:122)-SUMIF(121:121,C41,122:122)+100</f>
        <v>98</v>
      </c>
      <c r="I41" s="598" t="s">
        <v>3212</v>
      </c>
      <c r="J41" s="539">
        <f>SUMIF(121:121,I41,122:122)-SUMIF(121:121,C41,122:122)+100</f>
        <v>100</v>
      </c>
      <c r="K41" s="583">
        <v>2</v>
      </c>
      <c r="L41" s="2141"/>
      <c r="M41" s="2131"/>
      <c r="N41" s="2131"/>
      <c r="O41" s="2140"/>
      <c r="P41" s="3409"/>
      <c r="Q41" s="1570" t="str">
        <f t="shared" ref="Q41:Q47" si="14">B41</f>
        <v>宗地形状</v>
      </c>
      <c r="R41" s="1571" t="s">
        <v>8</v>
      </c>
      <c r="S41" s="1572">
        <f t="shared" si="10"/>
        <v>100</v>
      </c>
      <c r="T41" s="1571" t="s">
        <v>8</v>
      </c>
      <c r="U41" s="1572">
        <f t="shared" si="11"/>
        <v>98</v>
      </c>
      <c r="V41" s="1571" t="s">
        <v>8</v>
      </c>
      <c r="W41" s="1572">
        <f t="shared" si="12"/>
        <v>100</v>
      </c>
      <c r="X41" s="1565"/>
      <c r="Y41" s="3409"/>
      <c r="Z41" s="1573" t="str">
        <f t="shared" si="13"/>
        <v>宗地形状</v>
      </c>
      <c r="AA41" s="1574">
        <f t="shared" si="3"/>
        <v>1</v>
      </c>
      <c r="AB41" s="1574">
        <f t="shared" si="4"/>
        <v>1.0204081632653061</v>
      </c>
      <c r="AC41" s="1574">
        <f t="shared" si="5"/>
        <v>1</v>
      </c>
    </row>
    <row r="42" spans="1:29" ht="20.25">
      <c r="A42" s="593"/>
      <c r="B42" s="526" t="s">
        <v>554</v>
      </c>
      <c r="C42" s="598" t="s">
        <v>3213</v>
      </c>
      <c r="D42" s="539">
        <v>100</v>
      </c>
      <c r="E42" s="598" t="s">
        <v>3213</v>
      </c>
      <c r="F42" s="539">
        <f>SUMIF(123:123,E42,124:124)-SUMIF(123:123,C42,124:124)+100</f>
        <v>100</v>
      </c>
      <c r="G42" s="598" t="s">
        <v>3213</v>
      </c>
      <c r="H42" s="539">
        <f>SUMIF(123:123,G42,124:124)-SUMIF(123:123,C42,124:124)+100</f>
        <v>100</v>
      </c>
      <c r="I42" s="598" t="s">
        <v>3213</v>
      </c>
      <c r="J42" s="539">
        <f>SUMIF(123:123,I42,124:124)-SUMIF(123:123,C42,124:124)+100</f>
        <v>100</v>
      </c>
      <c r="K42" s="583">
        <v>2</v>
      </c>
      <c r="L42" s="2141"/>
      <c r="M42" s="2131"/>
      <c r="N42" s="2131"/>
      <c r="O42" s="2140"/>
      <c r="P42" s="3409"/>
      <c r="Q42" s="1570" t="str">
        <f t="shared" si="14"/>
        <v>临街宽度及深度</v>
      </c>
      <c r="R42" s="1571" t="s">
        <v>8</v>
      </c>
      <c r="S42" s="1572">
        <f t="shared" si="10"/>
        <v>100</v>
      </c>
      <c r="T42" s="1571" t="s">
        <v>8</v>
      </c>
      <c r="U42" s="1572">
        <f t="shared" si="11"/>
        <v>100</v>
      </c>
      <c r="V42" s="1571" t="s">
        <v>8</v>
      </c>
      <c r="W42" s="1572">
        <f t="shared" si="12"/>
        <v>100</v>
      </c>
      <c r="X42" s="1565"/>
      <c r="Y42" s="3409"/>
      <c r="Z42" s="1573" t="str">
        <f t="shared" si="13"/>
        <v>临街宽度及深度</v>
      </c>
      <c r="AA42" s="1574">
        <f t="shared" si="3"/>
        <v>1</v>
      </c>
      <c r="AB42" s="1574">
        <f t="shared" si="4"/>
        <v>1</v>
      </c>
      <c r="AC42" s="1574">
        <f t="shared" si="5"/>
        <v>1</v>
      </c>
    </row>
    <row r="43" spans="1:29" s="1218" customFormat="1" ht="20.25">
      <c r="A43" s="599"/>
      <c r="B43" s="1894" t="s">
        <v>2425</v>
      </c>
      <c r="C43" s="600" t="s">
        <v>3029</v>
      </c>
      <c r="D43" s="254">
        <v>100</v>
      </c>
      <c r="E43" s="600" t="s">
        <v>3031</v>
      </c>
      <c r="F43" s="539">
        <f>SUMIF(125:125,E43,126:126)-SUMIF(125:125,C43,126:126)+100</f>
        <v>98</v>
      </c>
      <c r="G43" s="600" t="s">
        <v>3031</v>
      </c>
      <c r="H43" s="539">
        <f>SUMIF(125:125,G43,126:126)-SUMIF(125:125,C43,126:126)+100</f>
        <v>98</v>
      </c>
      <c r="I43" s="600" t="s">
        <v>3028</v>
      </c>
      <c r="J43" s="539">
        <f>SUMIF(125:125,I43,126:126)-SUMIF(125:125,C43,126:126)+100</f>
        <v>101</v>
      </c>
      <c r="K43" s="583">
        <v>1</v>
      </c>
      <c r="L43" s="2134"/>
      <c r="M43" s="2131"/>
      <c r="N43" s="2131"/>
      <c r="O43" s="2136"/>
      <c r="P43" s="3409"/>
      <c r="Q43" s="1570" t="str">
        <f t="shared" si="14"/>
        <v>宗地开发程度</v>
      </c>
      <c r="R43" s="1566" t="s">
        <v>8</v>
      </c>
      <c r="S43" s="1567">
        <f t="shared" si="10"/>
        <v>98</v>
      </c>
      <c r="T43" s="1566" t="s">
        <v>8</v>
      </c>
      <c r="U43" s="1567">
        <f t="shared" si="11"/>
        <v>98</v>
      </c>
      <c r="V43" s="1566" t="s">
        <v>8</v>
      </c>
      <c r="W43" s="1567">
        <f t="shared" si="12"/>
        <v>101</v>
      </c>
      <c r="X43" s="1568"/>
      <c r="Y43" s="3409"/>
      <c r="Z43" s="1148" t="str">
        <f t="shared" si="13"/>
        <v>宗地开发程度</v>
      </c>
      <c r="AA43" s="1569">
        <f t="shared" si="3"/>
        <v>1.0204081632653061</v>
      </c>
      <c r="AB43" s="1569">
        <f t="shared" si="4"/>
        <v>1.0204081632653061</v>
      </c>
      <c r="AC43" s="1569">
        <f t="shared" si="5"/>
        <v>0.99009900990099009</v>
      </c>
    </row>
    <row r="44" spans="1:29" ht="20.25">
      <c r="A44" s="593"/>
      <c r="B44" s="526" t="s">
        <v>555</v>
      </c>
      <c r="C44" s="598" t="s">
        <v>3011</v>
      </c>
      <c r="D44" s="539">
        <v>100</v>
      </c>
      <c r="E44" s="598" t="s">
        <v>3011</v>
      </c>
      <c r="F44" s="539">
        <f>SUMIF(127:127,E44,128:128)-SUMIF(127:127,C44,128:128)+100</f>
        <v>100</v>
      </c>
      <c r="G44" s="598" t="s">
        <v>3011</v>
      </c>
      <c r="H44" s="539">
        <f>SUMIF(127:127,G44,128:128)-SUMIF(127:127,C44,128:128)+100</f>
        <v>100</v>
      </c>
      <c r="I44" s="598" t="s">
        <v>3011</v>
      </c>
      <c r="J44" s="539">
        <f>SUMIF(127:127,I44,128:128)-SUMIF(127:127,C44,128:128)+100</f>
        <v>100</v>
      </c>
      <c r="K44" s="583">
        <v>2</v>
      </c>
      <c r="L44" s="2141"/>
      <c r="M44" s="2131"/>
      <c r="N44" s="2131"/>
      <c r="O44" s="2140"/>
      <c r="P44" s="3409" t="s">
        <v>550</v>
      </c>
      <c r="Q44" s="1570" t="str">
        <f t="shared" si="14"/>
        <v>工程地质条件</v>
      </c>
      <c r="R44" s="1571" t="s">
        <v>8</v>
      </c>
      <c r="S44" s="1572">
        <f t="shared" si="10"/>
        <v>100</v>
      </c>
      <c r="T44" s="1571" t="s">
        <v>8</v>
      </c>
      <c r="U44" s="1572">
        <f t="shared" si="11"/>
        <v>100</v>
      </c>
      <c r="V44" s="1571" t="s">
        <v>8</v>
      </c>
      <c r="W44" s="1572">
        <f t="shared" si="12"/>
        <v>100</v>
      </c>
      <c r="X44" s="1565"/>
      <c r="Y44" s="3409" t="s">
        <v>550</v>
      </c>
      <c r="Z44" s="1573" t="str">
        <f t="shared" si="13"/>
        <v>工程地质条件</v>
      </c>
      <c r="AA44" s="1574">
        <f t="shared" si="3"/>
        <v>1</v>
      </c>
      <c r="AB44" s="1574">
        <f t="shared" si="4"/>
        <v>1</v>
      </c>
      <c r="AC44" s="1574">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09"/>
      <c r="Q45" s="1570">
        <f t="shared" si="14"/>
        <v>111</v>
      </c>
      <c r="R45" s="1571" t="s">
        <v>8</v>
      </c>
      <c r="S45" s="1572">
        <f t="shared" si="10"/>
        <v>100</v>
      </c>
      <c r="T45" s="1571" t="s">
        <v>8</v>
      </c>
      <c r="U45" s="1572">
        <f t="shared" si="11"/>
        <v>100</v>
      </c>
      <c r="V45" s="1571" t="s">
        <v>8</v>
      </c>
      <c r="W45" s="1572">
        <f t="shared" si="12"/>
        <v>100</v>
      </c>
      <c r="X45" s="1565"/>
      <c r="Y45" s="3409"/>
      <c r="Z45" s="1573">
        <f t="shared" si="13"/>
        <v>111</v>
      </c>
      <c r="AA45" s="1574">
        <f t="shared" si="3"/>
        <v>1</v>
      </c>
      <c r="AB45" s="1574">
        <f t="shared" si="4"/>
        <v>1</v>
      </c>
      <c r="AC45" s="1574">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09"/>
      <c r="Q46" s="1570">
        <f t="shared" si="14"/>
        <v>111</v>
      </c>
      <c r="R46" s="1571" t="s">
        <v>8</v>
      </c>
      <c r="S46" s="1572">
        <f t="shared" si="10"/>
        <v>100</v>
      </c>
      <c r="T46" s="1571" t="s">
        <v>8</v>
      </c>
      <c r="U46" s="1572">
        <f t="shared" si="11"/>
        <v>100</v>
      </c>
      <c r="V46" s="1571" t="s">
        <v>8</v>
      </c>
      <c r="W46" s="1572">
        <f t="shared" si="12"/>
        <v>100</v>
      </c>
      <c r="X46" s="1565"/>
      <c r="Y46" s="3409"/>
      <c r="Z46" s="1573">
        <f t="shared" si="13"/>
        <v>111</v>
      </c>
      <c r="AA46" s="1574">
        <f t="shared" si="3"/>
        <v>1</v>
      </c>
      <c r="AB46" s="1574">
        <f t="shared" si="4"/>
        <v>1</v>
      </c>
      <c r="AC46" s="1574">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09"/>
      <c r="Q47" s="1570">
        <f t="shared" si="14"/>
        <v>111</v>
      </c>
      <c r="R47" s="1575" t="s">
        <v>8</v>
      </c>
      <c r="S47" s="1576">
        <f t="shared" si="10"/>
        <v>100</v>
      </c>
      <c r="T47" s="1575" t="s">
        <v>8</v>
      </c>
      <c r="U47" s="1576">
        <f t="shared" si="11"/>
        <v>100</v>
      </c>
      <c r="V47" s="1575" t="s">
        <v>8</v>
      </c>
      <c r="W47" s="1576">
        <f t="shared" si="12"/>
        <v>100</v>
      </c>
      <c r="X47" s="1577"/>
      <c r="Y47" s="3409"/>
      <c r="Z47" s="1578">
        <f t="shared" si="13"/>
        <v>111</v>
      </c>
      <c r="AA47" s="1574">
        <f t="shared" si="3"/>
        <v>1</v>
      </c>
      <c r="AB47" s="1574">
        <f t="shared" si="4"/>
        <v>1</v>
      </c>
      <c r="AC47" s="1574">
        <f t="shared" si="5"/>
        <v>1</v>
      </c>
    </row>
    <row r="48" spans="1:29" ht="20.25">
      <c r="A48" s="606" t="s">
        <v>556</v>
      </c>
      <c r="B48" s="607" t="s">
        <v>3006</v>
      </c>
      <c r="C48" s="608" t="s">
        <v>1</v>
      </c>
      <c r="D48" s="609"/>
      <c r="E48" s="610">
        <f>ROUND(Sheet1!V2,0)</f>
        <v>17194</v>
      </c>
      <c r="F48" s="611"/>
      <c r="G48" s="610">
        <f>ROUND(Sheet1!V3,0)</f>
        <v>16286</v>
      </c>
      <c r="H48" s="613"/>
      <c r="I48" s="610">
        <f>ROUND(Sheet1!V4,0)</f>
        <v>16021</v>
      </c>
      <c r="J48" s="613"/>
      <c r="K48" s="1338"/>
      <c r="L48" s="2143"/>
      <c r="M48" s="2131"/>
      <c r="N48" s="2131"/>
      <c r="O48" s="2144"/>
      <c r="P48" s="3404" t="str">
        <f>A48</f>
        <v>成交单价</v>
      </c>
      <c r="Q48" s="3404"/>
      <c r="R48" s="3418">
        <f>E48</f>
        <v>17194</v>
      </c>
      <c r="S48" s="3418"/>
      <c r="T48" s="3418">
        <f>G48</f>
        <v>16286</v>
      </c>
      <c r="U48" s="3418"/>
      <c r="V48" s="3418">
        <f>I48</f>
        <v>16021</v>
      </c>
      <c r="W48" s="3418"/>
      <c r="X48" s="1557"/>
      <c r="Y48" s="1579"/>
      <c r="Z48" s="1557"/>
      <c r="AA48" s="1557"/>
      <c r="AB48" s="1557"/>
      <c r="AC48" s="1557"/>
    </row>
    <row r="49" spans="1:29" ht="21" thickBot="1">
      <c r="A49" s="614" t="s">
        <v>2694</v>
      </c>
      <c r="B49" s="615"/>
      <c r="C49" s="616">
        <f>R50</f>
        <v>14705</v>
      </c>
      <c r="D49" s="617"/>
      <c r="E49" s="616">
        <f>R49</f>
        <v>13883</v>
      </c>
      <c r="F49" s="618"/>
      <c r="G49" s="619">
        <f>T49</f>
        <v>14496</v>
      </c>
      <c r="H49" s="617"/>
      <c r="I49" s="616">
        <f>V49</f>
        <v>15737</v>
      </c>
      <c r="J49" s="617"/>
      <c r="K49" s="1339"/>
      <c r="L49" s="2143"/>
      <c r="M49" s="2131"/>
      <c r="N49" s="2131"/>
      <c r="O49" s="2144"/>
      <c r="P49" s="3404" t="str">
        <f>A49</f>
        <v>比较价格（元/平方米）</v>
      </c>
      <c r="Q49" s="3404"/>
      <c r="R49" s="3429">
        <f>ROUND(PRODUCT(R48,AA9:AA47),0)</f>
        <v>13883</v>
      </c>
      <c r="S49" s="3429"/>
      <c r="T49" s="3429">
        <f>ROUND(PRODUCT(T48,AB9:AB47),0)</f>
        <v>14496</v>
      </c>
      <c r="U49" s="3429"/>
      <c r="V49" s="3429">
        <f>ROUND(PRODUCT(V48,AC9:AC47),0)</f>
        <v>15737</v>
      </c>
      <c r="W49" s="3429"/>
      <c r="X49" s="1557"/>
      <c r="Y49" s="1557"/>
      <c r="Z49" s="1557"/>
      <c r="AA49" s="1557"/>
      <c r="AB49" s="1557"/>
      <c r="AC49" s="1557"/>
    </row>
    <row r="50" spans="1:29" ht="21" thickBot="1">
      <c r="A50" s="620" t="s">
        <v>2931</v>
      </c>
      <c r="B50" s="621"/>
      <c r="C50" s="622">
        <f>R50</f>
        <v>14705</v>
      </c>
      <c r="D50" s="622"/>
      <c r="E50" s="622"/>
      <c r="F50" s="622"/>
      <c r="G50" s="622"/>
      <c r="H50" s="622"/>
      <c r="I50" s="622"/>
      <c r="J50" s="622"/>
      <c r="K50" s="1340"/>
      <c r="L50" s="2143"/>
      <c r="M50" s="2131"/>
      <c r="N50" s="2131"/>
      <c r="O50" s="2144"/>
      <c r="P50" s="3426" t="str">
        <f>A50</f>
        <v>估价对象XX用房的比较价格（楼面单价，元/平方米）</v>
      </c>
      <c r="Q50" s="3427"/>
      <c r="R50" s="3428">
        <f>ROUND(AVERAGE(R49:V49),0)</f>
        <v>14705</v>
      </c>
      <c r="S50" s="3428"/>
      <c r="T50" s="3428"/>
      <c r="U50" s="3428"/>
      <c r="V50" s="3428"/>
      <c r="W50" s="3428"/>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f>IF(E48&lt;E49,E49/E48-1,E48/E49-1)</f>
        <v>0.23849312108333942</v>
      </c>
      <c r="F53" s="626" t="str">
        <f>IF(OR(E53&gt;=0.3,E53&lt;=-0.3),"超过30%","")</f>
        <v/>
      </c>
      <c r="G53" s="625">
        <f>IF(G48&lt;G49,G49/G48-1,G48/G49-1)</f>
        <v>0.12348233995584978</v>
      </c>
      <c r="H53" s="626" t="str">
        <f>IF(OR(G53&gt;=0.3,G53&lt;=-0.3),"超过30%","")</f>
        <v/>
      </c>
      <c r="I53" s="625">
        <f>IF(I48&lt;I49,I49/I48-1,I48/I49-1)</f>
        <v>1.8046641672491592E-2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4.4154721601959324E-2</v>
      </c>
      <c r="F54" s="626" t="str">
        <f>IF(OR(E54&gt;=0.2,E54&lt;=-0.2),"超过20%","")</f>
        <v/>
      </c>
      <c r="G54" s="625">
        <f>IF(G49&lt;I49,I49/G49-1,G49/I49-1)</f>
        <v>8.5609823399558582E-2</v>
      </c>
      <c r="H54" s="626" t="str">
        <f>IF(OR(G54&gt;=0.2,G54&lt;=-0.2),"超过20%","")</f>
        <v/>
      </c>
      <c r="I54" s="625">
        <f>IF(I49&lt;E49,E49/I49-1,I49/E49-1)</f>
        <v>0.13354462292011804</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5.5753407834950197E-2</v>
      </c>
      <c r="F55" s="626" t="str">
        <f>IF(OR(E55&gt;=0.3,E55&lt;=-0.3),"超过30%","")</f>
        <v/>
      </c>
      <c r="G55" s="625">
        <f>IF(G48&lt;I48,I48/G48-1,G48/I48-1)</f>
        <v>1.6540790212845602E-2</v>
      </c>
      <c r="H55" s="626" t="str">
        <f>IF(OR(G55&gt;=0.3,G55&lt;=-0.3),"超过30%","")</f>
        <v/>
      </c>
      <c r="I55" s="625">
        <f>IF(I48&lt;E48,E48/I48-1,I48/E48-1)</f>
        <v>7.3216403470445002E-2</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1725</v>
      </c>
      <c r="D57" s="2226" t="s">
        <v>2295</v>
      </c>
      <c r="E57" s="630" t="s">
        <v>562</v>
      </c>
      <c r="F57" s="631" t="s">
        <v>563</v>
      </c>
      <c r="G57" s="3388" t="s">
        <v>2283</v>
      </c>
      <c r="H57" s="3389"/>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564</v>
      </c>
      <c r="B58" s="633">
        <f>C50</f>
        <v>14705</v>
      </c>
      <c r="C58" s="634">
        <v>1</v>
      </c>
      <c r="D58" s="2227">
        <v>1</v>
      </c>
      <c r="E58" s="634">
        <f>'数据-汇总表'!E8+'数据-汇总表'!E9</f>
        <v>191350</v>
      </c>
      <c r="F58" s="635">
        <f t="shared" ref="F58:F67" si="15">ROUND(B58*E58/10000,0)</f>
        <v>281380</v>
      </c>
      <c r="G58" s="3390"/>
      <c r="H58" s="3391"/>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565</v>
      </c>
      <c r="B59" s="637">
        <f>ROUND($C$50*C59*D59,0)</f>
        <v>2206</v>
      </c>
      <c r="C59" s="377">
        <f t="shared" ref="C59:C67" si="16">IF($C$57="北京市系数",I59,J59)</f>
        <v>0.6</v>
      </c>
      <c r="D59" s="2228">
        <v>0.25</v>
      </c>
      <c r="E59" s="638">
        <v>0</v>
      </c>
      <c r="F59" s="635">
        <f t="shared" si="15"/>
        <v>0</v>
      </c>
      <c r="G59" s="3392" t="s">
        <v>2284</v>
      </c>
      <c r="H59" s="1947" t="str">
        <f>项目基本情况!B43</f>
        <v>九级</v>
      </c>
      <c r="I59" s="1554">
        <f>SUMIF(修正!$A$45:$A$56,H59,修正!B45:B56)</f>
        <v>0.6</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566</v>
      </c>
      <c r="B60" s="637">
        <f t="shared" ref="B60:B67" si="17">ROUND($C$50*C60*D60,0)</f>
        <v>1103</v>
      </c>
      <c r="C60" s="377">
        <f t="shared" si="16"/>
        <v>0.3</v>
      </c>
      <c r="D60" s="2228">
        <v>0.25</v>
      </c>
      <c r="E60" s="638">
        <v>0</v>
      </c>
      <c r="F60" s="635">
        <f t="shared" si="15"/>
        <v>0</v>
      </c>
      <c r="G60" s="3392"/>
      <c r="H60" s="1947" t="str">
        <f>项目基本情况!B43</f>
        <v>九级</v>
      </c>
      <c r="I60" s="1554">
        <f>SUMIF(修正!$A$45:$A$56,H60,修正!C45:C56)</f>
        <v>0.3</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567</v>
      </c>
      <c r="B61" s="637">
        <f t="shared" si="17"/>
        <v>735</v>
      </c>
      <c r="C61" s="377">
        <f t="shared" si="16"/>
        <v>0.2</v>
      </c>
      <c r="D61" s="2228">
        <v>0.25</v>
      </c>
      <c r="E61" s="638">
        <v>0</v>
      </c>
      <c r="F61" s="635">
        <f t="shared" si="15"/>
        <v>0</v>
      </c>
      <c r="G61" s="3392"/>
      <c r="H61" s="1947" t="str">
        <f>项目基本情况!B43</f>
        <v>九级</v>
      </c>
      <c r="I61" s="1554">
        <f>SUMIF(修正!$A$45:$A$56,H61,修正!D45:D56)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568</v>
      </c>
      <c r="B62" s="637">
        <f t="shared" si="17"/>
        <v>735</v>
      </c>
      <c r="C62" s="377">
        <f t="shared" si="16"/>
        <v>0.2</v>
      </c>
      <c r="D62" s="2228">
        <v>0.25</v>
      </c>
      <c r="E62" s="638">
        <v>0</v>
      </c>
      <c r="F62" s="635">
        <f t="shared" si="15"/>
        <v>0</v>
      </c>
      <c r="G62" s="3392"/>
      <c r="H62" s="1947" t="str">
        <f>项目基本情况!B43</f>
        <v>九级</v>
      </c>
      <c r="I62" s="1554">
        <f>SUMIF(修正!$A$45:$A$56,H62,修正!E45:E56)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2329</v>
      </c>
      <c r="B63" s="637">
        <f t="shared" si="17"/>
        <v>0</v>
      </c>
      <c r="C63" s="377">
        <f t="shared" si="16"/>
        <v>0</v>
      </c>
      <c r="D63" s="2228">
        <v>0.25</v>
      </c>
      <c r="E63" s="640">
        <f>'数据-汇总表'!E11</f>
        <v>0</v>
      </c>
      <c r="F63" s="635">
        <f t="shared" si="15"/>
        <v>0</v>
      </c>
      <c r="G63" s="1944" t="s">
        <v>2285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569</v>
      </c>
      <c r="B64" s="637">
        <f t="shared" si="17"/>
        <v>735</v>
      </c>
      <c r="C64" s="377">
        <f t="shared" si="16"/>
        <v>0.2</v>
      </c>
      <c r="D64" s="2228">
        <v>0.25</v>
      </c>
      <c r="E64" s="640">
        <f>'数据-汇总表'!E12</f>
        <v>0</v>
      </c>
      <c r="F64" s="635">
        <f t="shared" si="15"/>
        <v>0</v>
      </c>
      <c r="G64" s="1945" t="s">
        <v>923</v>
      </c>
      <c r="H64" s="1943" t="str">
        <f>IF(G64="商业",项目基本情况!B43,IF(G64="办公",项目基本情况!C43,IF(G64="住宅",项目基本情况!D43,项目基本情况!E43)))</f>
        <v>九级</v>
      </c>
      <c r="I64" s="1554">
        <f>SUMIF(修正!$A$45:$A$56,H64,修正!G45:G56)</f>
        <v>0.2</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570</v>
      </c>
      <c r="B65" s="637">
        <f t="shared" si="17"/>
        <v>551</v>
      </c>
      <c r="C65" s="377">
        <f t="shared" si="16"/>
        <v>0.15</v>
      </c>
      <c r="D65" s="2228">
        <v>0.25</v>
      </c>
      <c r="E65" s="640">
        <f>'数据-汇总表'!E13</f>
        <v>20000</v>
      </c>
      <c r="F65" s="635">
        <f t="shared" si="15"/>
        <v>1102</v>
      </c>
      <c r="G65" s="1945" t="s">
        <v>923</v>
      </c>
      <c r="H65" s="1943" t="str">
        <f>IF(G65="商业",项目基本情况!B43,IF(G65="办公",项目基本情况!C43,IF(G65="住宅",项目基本情况!D43,项目基本情况!E43)))</f>
        <v>九级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571</v>
      </c>
      <c r="B66" s="637">
        <f t="shared" si="17"/>
        <v>551</v>
      </c>
      <c r="C66" s="377">
        <f t="shared" si="16"/>
        <v>0.15</v>
      </c>
      <c r="D66" s="2228">
        <v>0.25</v>
      </c>
      <c r="E66" s="640">
        <f>'数据-汇总表'!E14</f>
        <v>0</v>
      </c>
      <c r="F66" s="635">
        <f t="shared" si="15"/>
        <v>0</v>
      </c>
      <c r="G66" s="1944" t="s">
        <v>2284</v>
      </c>
      <c r="H66" s="1947" t="str">
        <f>项目基本情况!B43</f>
        <v>九级</v>
      </c>
      <c r="I66" s="1554">
        <f>SUMIF(修正!$A$45:$A$56,H66,修正!H45:H56)</f>
        <v>0.15</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572</v>
      </c>
      <c r="B67" s="637">
        <f t="shared" si="17"/>
        <v>0</v>
      </c>
      <c r="C67" s="377">
        <f t="shared" si="16"/>
        <v>0</v>
      </c>
      <c r="D67" s="2228">
        <v>0.25</v>
      </c>
      <c r="E67" s="640">
        <f>'数据-汇总表'!E15</f>
        <v>0</v>
      </c>
      <c r="F67" s="635">
        <f t="shared" si="15"/>
        <v>0</v>
      </c>
      <c r="G67" s="1946" t="s">
        <v>2285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573</v>
      </c>
      <c r="B68" s="642" t="s">
        <v>17</v>
      </c>
      <c r="C68" s="642" t="s">
        <v>18</v>
      </c>
      <c r="D68" s="642" t="s">
        <v>2296</v>
      </c>
      <c r="E68" s="642">
        <f>IF(B48="楼面地价",SUM(E58:E67),'数据-汇总表'!D3)</f>
        <v>211350</v>
      </c>
      <c r="F68" s="643">
        <f>IF(B48="楼面地价",SUM(F58:F67),ROUND(C50*E68/10000,0))</f>
        <v>282482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2018-8-1</v>
      </c>
      <c r="D70" s="2798">
        <f>EDATE(C70,-3)</f>
        <v>43221</v>
      </c>
      <c r="E70" s="2798">
        <f t="shared" ref="E70:N70" si="18">EDATE(D70,-3)</f>
        <v>43132</v>
      </c>
      <c r="F70" s="2798">
        <f t="shared" si="18"/>
        <v>43040</v>
      </c>
      <c r="G70" s="2798">
        <f t="shared" si="18"/>
        <v>42948</v>
      </c>
      <c r="H70" s="2798">
        <f t="shared" si="18"/>
        <v>42856</v>
      </c>
      <c r="I70" s="2798">
        <f t="shared" si="18"/>
        <v>42767</v>
      </c>
      <c r="J70" s="2798">
        <f t="shared" si="18"/>
        <v>42675</v>
      </c>
      <c r="K70" s="2798">
        <f t="shared" si="18"/>
        <v>42583</v>
      </c>
      <c r="L70" s="2798">
        <f t="shared" si="18"/>
        <v>42491</v>
      </c>
      <c r="M70" s="2798">
        <f t="shared" si="18"/>
        <v>42401</v>
      </c>
      <c r="N70" s="2798">
        <f t="shared" si="18"/>
        <v>42309</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67" t="s">
        <v>2533</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2648</v>
      </c>
      <c r="B73" s="478" t="str">
        <f>"北京市平均增长率"&amp;TEXT(SUMIF(基准地价!N21:N25,A73,基准地价!P21:P25),"0.00%")</f>
        <v>北京市平均增长率2.23%</v>
      </c>
      <c r="C73" s="892">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577</v>
      </c>
      <c r="B77" s="664" t="s">
        <v>534</v>
      </c>
      <c r="C77" s="3178" t="s">
        <v>3261</v>
      </c>
      <c r="D77" s="3178"/>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102</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3185" t="s">
        <v>3216</v>
      </c>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v>100</v>
      </c>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596" t="s">
        <v>2551</v>
      </c>
      <c r="C104" s="2597" t="s">
        <v>2552</v>
      </c>
      <c r="D104" s="2597" t="s">
        <v>2553</v>
      </c>
      <c r="E104" s="2597" t="s">
        <v>2554</v>
      </c>
      <c r="F104" s="2597" t="s">
        <v>2555</v>
      </c>
      <c r="G104" s="2597"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548</v>
      </c>
      <c r="C108" s="3185" t="s">
        <v>3014</v>
      </c>
      <c r="D108" s="3185" t="s">
        <v>3015</v>
      </c>
      <c r="E108" s="3185" t="s">
        <v>3016</v>
      </c>
      <c r="F108" s="3185" t="s">
        <v>3017</v>
      </c>
      <c r="G108" s="3185" t="s">
        <v>3018</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90" t="str">
        <f t="shared" si="26"/>
        <v>(含)-</v>
      </c>
      <c r="K118" s="3090" t="str">
        <f t="shared" si="26"/>
        <v>(含)-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30000</v>
      </c>
      <c r="E119" s="729">
        <v>60000</v>
      </c>
      <c r="F119" s="729">
        <v>90000</v>
      </c>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f>C120+2</f>
        <v>102</v>
      </c>
      <c r="E120" s="725">
        <f t="shared" ref="E120:F120" si="27">D120+2</f>
        <v>104</v>
      </c>
      <c r="F120" s="725">
        <f t="shared" si="27"/>
        <v>106</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594</v>
      </c>
      <c r="C121" s="3186" t="s">
        <v>3020</v>
      </c>
      <c r="D121" s="3186" t="s">
        <v>3021</v>
      </c>
      <c r="E121" s="3186" t="s">
        <v>3022</v>
      </c>
      <c r="F121" s="3186" t="s">
        <v>3023</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595</v>
      </c>
      <c r="C123" s="3185" t="s">
        <v>3024</v>
      </c>
      <c r="D123" s="3185" t="s">
        <v>3025</v>
      </c>
      <c r="E123" s="3185" t="s">
        <v>3026</v>
      </c>
      <c r="F123" s="3186" t="s">
        <v>3027</v>
      </c>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3" t="s">
        <v>3009</v>
      </c>
      <c r="D125" s="1373" t="s">
        <v>3028</v>
      </c>
      <c r="E125" s="1373" t="s">
        <v>3029</v>
      </c>
      <c r="F125" s="1373" t="s">
        <v>3030</v>
      </c>
      <c r="G125" s="1373" t="s">
        <v>3031</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687" t="s">
        <v>3032</v>
      </c>
      <c r="D127" s="687" t="s">
        <v>3011</v>
      </c>
      <c r="E127" s="717" t="s">
        <v>3013</v>
      </c>
      <c r="F127" s="717" t="s">
        <v>3033</v>
      </c>
      <c r="G127" s="717" t="s">
        <v>3034</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6" workbookViewId="0">
      <selection activeCell="E41" sqref="E4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1">
        <f>MATCH(B1,'数据-取费表'!A6:A16,0)+5</f>
        <v>9</v>
      </c>
    </row>
    <row r="2" spans="1:31" s="2040" customFormat="1" ht="18" customHeight="1">
      <c r="A2" s="2100" t="s">
        <v>467</v>
      </c>
      <c r="B2" s="2104">
        <f ca="1">C36</f>
        <v>230661</v>
      </c>
      <c r="C2" s="2103"/>
      <c r="D2" s="2103"/>
      <c r="E2" s="2103"/>
      <c r="F2" s="2103"/>
      <c r="G2" s="2103"/>
      <c r="H2" s="2103"/>
      <c r="I2" s="2103"/>
      <c r="J2" s="2103"/>
      <c r="K2" s="2103"/>
    </row>
    <row r="3" spans="1:31" s="2040" customFormat="1" ht="18" customHeight="1">
      <c r="A3" s="2105" t="s">
        <v>1685</v>
      </c>
      <c r="B3" s="2106">
        <f ca="1">ROUND(B2*10000/IF(B1="",'数据-汇总表'!E3,INDIRECT("'数据-取费表'!K"&amp;$K$1)),0)</f>
        <v>8388</v>
      </c>
      <c r="C3" s="2103"/>
      <c r="D3" s="2103"/>
      <c r="E3" s="2103"/>
      <c r="F3" s="2103"/>
      <c r="G3" s="2103"/>
      <c r="H3" s="2103"/>
      <c r="I3" s="2103"/>
      <c r="J3" s="2103"/>
      <c r="K3" s="2103"/>
    </row>
    <row r="4" spans="1:31" s="2040" customFormat="1" ht="18" customHeight="1">
      <c r="A4" s="425" t="s">
        <v>468</v>
      </c>
      <c r="B4" s="426">
        <f ca="1">ROUND(B2*10000/IF(B1="",'数据-汇总表'!D3,INDIRECT("'数据-取费表'!R"&amp;$K$1)),0)</f>
        <v>26573</v>
      </c>
      <c r="C4" s="427"/>
      <c r="D4" s="421"/>
      <c r="E4" s="421"/>
      <c r="F4" s="421"/>
      <c r="G4" s="421"/>
      <c r="H4" s="421"/>
      <c r="I4" s="421"/>
      <c r="J4" s="421"/>
      <c r="K4" s="421"/>
    </row>
    <row r="5" spans="1:31" s="2040" customFormat="1" ht="18" customHeight="1" thickBot="1">
      <c r="A5" s="428"/>
      <c r="B5" s="429">
        <f ca="1">ROUND(B2/(IF(B1="",'数据-汇总表'!D3,INDIRECT("'数据-取费表'!R"&amp;$K$1))/666.67),0)</f>
        <v>1772</v>
      </c>
      <c r="C5" s="430" t="s">
        <v>469</v>
      </c>
      <c r="D5" s="421"/>
      <c r="E5" s="421"/>
      <c r="F5" s="421"/>
      <c r="G5" s="421"/>
      <c r="H5" s="421"/>
      <c r="I5" s="421"/>
      <c r="J5" s="421"/>
      <c r="K5" s="421"/>
    </row>
    <row r="6" spans="1:31" s="2110" customFormat="1" ht="16.5" customHeight="1">
      <c r="A6" s="2827" t="s">
        <v>1843</v>
      </c>
      <c r="B6" s="2828"/>
      <c r="C6" s="2829">
        <f ca="1">SUM(C10:K10)</f>
        <v>396042</v>
      </c>
      <c r="D6" s="2828"/>
      <c r="E6" s="2828"/>
      <c r="F6" s="2828"/>
      <c r="G6" s="2828"/>
      <c r="H6" s="2828"/>
      <c r="I6" s="2828"/>
      <c r="J6" s="2828"/>
      <c r="K6" s="2830"/>
    </row>
    <row r="7" spans="1:31" s="2112" customFormat="1" ht="15">
      <c r="A7" s="2831" t="s">
        <v>470</v>
      </c>
      <c r="B7" s="2832" t="s">
        <v>471</v>
      </c>
      <c r="C7" s="435" t="s">
        <v>923</v>
      </c>
      <c r="D7" s="435" t="s">
        <v>3189</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438">
        <v>20000</v>
      </c>
      <c r="D8" s="2833">
        <f ca="1">不动产收益法!C43</f>
        <v>17173</v>
      </c>
      <c r="E8" s="2833">
        <f>'不动产比较法-车位'!C38</f>
        <v>245965</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180600</v>
      </c>
      <c r="D9" s="440">
        <f>SUMIF('数据-汇总表'!$C19:$C33,'剩余法-待开发'!D7,'数据-汇总表'!$E19:$E33)</f>
        <v>10750</v>
      </c>
      <c r="E9" s="440">
        <f>SUMIF('数据-汇总表'!$C19:$C33,'剩余法-待开发'!E7,'数据-汇总表'!$E19:$E33)</f>
        <v>20000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1623">
        <f>ROUND(C8*C9/10000,0)</f>
        <v>361200</v>
      </c>
      <c r="D10" s="1623">
        <f ca="1">不动产收益法!B2</f>
        <v>18461</v>
      </c>
      <c r="E10" s="1623">
        <f>ROUND(E8*666/10000,0)</f>
        <v>16381</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49">
        <f ca="1">IF(B1="",'数据-取费表'!P16,INDIRECT("'数据-取费表'!p"&amp;$K$1)+INDIRECT("'数据-取费表'!t"&amp;$K$1))</f>
        <v>72190</v>
      </c>
      <c r="D13" s="2843"/>
      <c r="E13" s="2844"/>
      <c r="F13" s="2845"/>
      <c r="G13" s="2811"/>
      <c r="H13" s="2812"/>
      <c r="I13" s="2812"/>
      <c r="J13" s="2812"/>
      <c r="K13" s="2813"/>
    </row>
    <row r="14" spans="1:31" s="2115" customFormat="1" ht="13.5" customHeight="1">
      <c r="A14" s="2841" t="s">
        <v>1850</v>
      </c>
      <c r="B14" s="2842" t="s">
        <v>480</v>
      </c>
      <c r="C14" s="52">
        <f ca="1">ROUND(C13*F14,0)</f>
        <v>2166</v>
      </c>
      <c r="D14" s="2843"/>
      <c r="E14" s="2844"/>
      <c r="F14" s="2846">
        <f>'数据-取费表'!B33</f>
        <v>0.03</v>
      </c>
      <c r="G14" s="2811" t="s">
        <v>481</v>
      </c>
      <c r="H14" s="2812"/>
      <c r="I14" s="2812"/>
      <c r="J14" s="2812"/>
      <c r="K14" s="2813"/>
    </row>
    <row r="15" spans="1:31" s="2115" customFormat="1" ht="13.5" customHeight="1">
      <c r="A15" s="2841" t="s">
        <v>1851</v>
      </c>
      <c r="B15" s="2842" t="s">
        <v>482</v>
      </c>
      <c r="C15" s="52">
        <f ca="1">ROUND(IF(B1="",SUMIF('数据-取费表'!C:C,"住宅",'数据-取费表'!P:P)*F15,IF(INDIRECT("'数据-取费表'!c"&amp;$K$1)="住宅",INDIRECT("'数据-取费表'!P"&amp;$K$1)*F15,0)),0)</f>
        <v>2709</v>
      </c>
      <c r="D15" s="2843"/>
      <c r="E15" s="2844"/>
      <c r="F15" s="2846">
        <f>'数据-取费表'!B34</f>
        <v>0.05</v>
      </c>
      <c r="G15" s="2811" t="s">
        <v>483</v>
      </c>
      <c r="H15" s="2812"/>
      <c r="I15" s="2812"/>
      <c r="J15" s="2812"/>
      <c r="K15" s="2813"/>
    </row>
    <row r="16" spans="1:31" s="2116" customFormat="1" ht="13.5" customHeight="1">
      <c r="A16" s="2841" t="s">
        <v>1852</v>
      </c>
      <c r="B16" s="2842" t="s">
        <v>484</v>
      </c>
      <c r="C16" s="52">
        <f ca="1">ROUND(D16*E16/10000,0)</f>
        <v>5500</v>
      </c>
      <c r="D16" s="2843">
        <f ca="1">IF(B1="",'数据-汇总表'!E3,INDIRECT("'数据-取费表'!K"&amp;$K$1)+INDIRECT("'数据-取费表'!S"&amp;$K$1))</f>
        <v>275000</v>
      </c>
      <c r="E16" s="52">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1083</v>
      </c>
      <c r="D17" s="474"/>
      <c r="E17" s="2847"/>
      <c r="F17" s="2848">
        <f>'数据-取费表'!B36</f>
        <v>1.4999999999999999E-2</v>
      </c>
      <c r="G17" s="260" t="s">
        <v>486</v>
      </c>
      <c r="H17" s="2814"/>
      <c r="I17" s="2814"/>
      <c r="J17" s="2814"/>
      <c r="K17" s="278"/>
    </row>
    <row r="18" spans="1:14" s="2115" customFormat="1" ht="13.5" customHeight="1">
      <c r="A18" s="2849" t="s">
        <v>1854</v>
      </c>
      <c r="B18" s="2850" t="s">
        <v>487</v>
      </c>
      <c r="C18" s="2851">
        <f ca="1">SUM(C13:C17)</f>
        <v>83648</v>
      </c>
      <c r="D18" s="2852"/>
      <c r="E18" s="467"/>
      <c r="F18" s="467"/>
      <c r="G18" s="2815" t="s">
        <v>2431</v>
      </c>
      <c r="H18" s="2816"/>
      <c r="I18" s="2816"/>
      <c r="J18" s="2816"/>
      <c r="K18" s="2817"/>
    </row>
    <row r="19" spans="1:14" s="2115" customFormat="1" ht="13.5" customHeight="1">
      <c r="A19" s="2849" t="s">
        <v>1855</v>
      </c>
      <c r="B19" s="2850" t="s">
        <v>488</v>
      </c>
      <c r="C19" s="2807">
        <f ca="1">ROUND(D19*E19/10000,0)</f>
        <v>2475</v>
      </c>
      <c r="D19" s="2853">
        <f ca="1">D16</f>
        <v>275000</v>
      </c>
      <c r="E19" s="2807">
        <f>'数据-取费表'!B32</f>
        <v>90</v>
      </c>
      <c r="F19" s="467"/>
      <c r="G19" s="2811" t="s">
        <v>489</v>
      </c>
      <c r="H19" s="2812"/>
      <c r="I19" s="2816"/>
      <c r="J19" s="2816"/>
      <c r="K19" s="2817"/>
    </row>
    <row r="20" spans="1:14" s="2115" customFormat="1" ht="13.5" customHeight="1">
      <c r="A20" s="2849" t="s">
        <v>1856</v>
      </c>
      <c r="B20" s="2850" t="s">
        <v>490</v>
      </c>
      <c r="C20" s="2807">
        <f ca="1">C21+C22-IF(B1="",'数据-取费表'!B29,IF(G20="已全部缴纳",C21+C22,H20))</f>
        <v>4133</v>
      </c>
      <c r="D20" s="2853"/>
      <c r="E20" s="2807"/>
      <c r="F20" s="2854"/>
      <c r="G20" s="3086"/>
      <c r="H20" s="2809"/>
      <c r="I20" s="2810" t="s">
        <v>2652</v>
      </c>
      <c r="J20" s="2816"/>
      <c r="K20" s="2817"/>
    </row>
    <row r="21" spans="1:14" s="2115" customFormat="1" ht="13.5" customHeight="1">
      <c r="A21" s="2841" t="s">
        <v>1857</v>
      </c>
      <c r="B21" s="2842" t="s">
        <v>491</v>
      </c>
      <c r="C21" s="52">
        <f ca="1">ROUND(D21*E21/10000,0)</f>
        <v>2528</v>
      </c>
      <c r="D21" s="2843">
        <f ca="1">IF(B1="",'数据-汇总表'!E5,IF(INDIRECT("'数据-取费表'!c"&amp;$K$1)="住宅",INDIRECT("'数据-取费表'!k"&amp;$K$1),0))</f>
        <v>180600</v>
      </c>
      <c r="E21" s="52">
        <f>'数据-取费表'!B27</f>
        <v>140</v>
      </c>
      <c r="F21" s="2846"/>
      <c r="G21" s="25"/>
      <c r="H21" s="50"/>
      <c r="I21" s="50"/>
      <c r="J21" s="50"/>
      <c r="K21" s="2818"/>
    </row>
    <row r="22" spans="1:14" s="2115" customFormat="1" ht="13.5" customHeight="1">
      <c r="A22" s="2841" t="s">
        <v>1858</v>
      </c>
      <c r="B22" s="2842" t="s">
        <v>492</v>
      </c>
      <c r="C22" s="52">
        <f ca="1">ROUND(D22*E22/10000,0)</f>
        <v>1605</v>
      </c>
      <c r="D22" s="2843">
        <f ca="1">IF(B1="",'数据-汇总表'!E6,IF(INDIRECT("'数据-取费表'!c"&amp;$K$1)="住宅",INDIRECT("'数据-取费表'!s"&amp;$K$1),INDIRECT("'数据-取费表'!k"&amp;$K$1)+INDIRECT("'数据-取费表'!s"&amp;$K$1)))</f>
        <v>94400</v>
      </c>
      <c r="E22" s="52">
        <f>'数据-取费表'!B28</f>
        <v>170</v>
      </c>
      <c r="F22" s="2846"/>
      <c r="G22" s="25"/>
      <c r="H22" s="50"/>
      <c r="I22" s="50"/>
      <c r="J22" s="50"/>
      <c r="K22" s="2818"/>
    </row>
    <row r="23" spans="1:14" s="2115" customFormat="1" ht="13.5" customHeight="1">
      <c r="A23" s="2849" t="s">
        <v>1859</v>
      </c>
      <c r="B23" s="3033" t="s">
        <v>2835</v>
      </c>
      <c r="C23" s="2851">
        <f ca="1">ROUND((C18+C19+C20)*F23,0)</f>
        <v>1805</v>
      </c>
      <c r="D23" s="467"/>
      <c r="E23" s="467"/>
      <c r="F23" s="2855">
        <f>'数据-取费表'!B37</f>
        <v>0.02</v>
      </c>
      <c r="G23" s="2811" t="s">
        <v>2432</v>
      </c>
      <c r="H23" s="2812"/>
      <c r="I23" s="2812"/>
      <c r="J23" s="2812"/>
      <c r="K23" s="2813"/>
      <c r="L23" s="2117"/>
      <c r="M23" s="2117"/>
      <c r="N23" s="2117"/>
    </row>
    <row r="24" spans="1:14" s="2115" customFormat="1" ht="13.5" customHeight="1">
      <c r="A24" s="2849" t="s">
        <v>1860</v>
      </c>
      <c r="B24" s="3033" t="s">
        <v>2838</v>
      </c>
      <c r="C24" s="2851">
        <f ca="1">ROUND(C6*F24,0)</f>
        <v>7921</v>
      </c>
      <c r="D24" s="474"/>
      <c r="E24" s="472"/>
      <c r="F24" s="2855">
        <f>'数据-取费表'!B38</f>
        <v>0.02</v>
      </c>
      <c r="G24" s="2820" t="s">
        <v>499</v>
      </c>
      <c r="H24" s="2814"/>
      <c r="I24" s="2814"/>
      <c r="J24" s="2814"/>
      <c r="K24" s="278"/>
      <c r="L24" s="2117"/>
      <c r="M24" s="2117"/>
      <c r="N24" s="2117"/>
    </row>
    <row r="25" spans="1:14" s="2118" customFormat="1" ht="13.5" customHeight="1">
      <c r="A25" s="2849" t="s">
        <v>1861</v>
      </c>
      <c r="B25" s="3033" t="s">
        <v>2836</v>
      </c>
      <c r="C25" s="466">
        <f>ROUND(F25/(1+'数据-取费表'!C42),4)</f>
        <v>2.9000000000000001E-2</v>
      </c>
      <c r="D25" s="461" t="s">
        <v>2830</v>
      </c>
      <c r="E25" s="468"/>
      <c r="F25" s="2855">
        <f>'数据-取费表'!B48+'数据-取费表'!B49</f>
        <v>3.0499999999999999E-2</v>
      </c>
      <c r="G25" s="2819" t="s">
        <v>2291</v>
      </c>
      <c r="H25" s="2812"/>
      <c r="I25" s="2812"/>
      <c r="J25" s="2812"/>
      <c r="K25" s="2813"/>
    </row>
    <row r="26" spans="1:14" s="2117" customFormat="1" ht="13.5" customHeight="1">
      <c r="A26" s="2849" t="s">
        <v>1862</v>
      </c>
      <c r="B26" s="3034" t="s">
        <v>2837</v>
      </c>
      <c r="C26" s="2856">
        <f ca="1">C28</f>
        <v>4749</v>
      </c>
      <c r="D26" s="466">
        <f ca="1">C27</f>
        <v>0.10009999999999999</v>
      </c>
      <c r="E26" s="468" t="s">
        <v>495</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1857</v>
      </c>
      <c r="B27" s="2857" t="s">
        <v>496</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1858</v>
      </c>
      <c r="B28" s="2857" t="s">
        <v>2839</v>
      </c>
      <c r="C28" s="2859">
        <f ca="1">ROUND(IF('数据-取费表'!B22&lt;=1,(C18+C19+C20+C23+C24)*F26*'数据-取费表'!B24/2,(C18+C19+C20+C23+C24)*(POWER((1+F26),'数据-取费表'!B24/2)-1)),0)</f>
        <v>4749</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1863</v>
      </c>
      <c r="B29" s="2850" t="s">
        <v>497</v>
      </c>
      <c r="C29" s="2851">
        <f ca="1">ROUND(C6*F29/(1+'数据-取费表'!C42),0)</f>
        <v>20745</v>
      </c>
      <c r="D29" s="467"/>
      <c r="E29" s="467"/>
      <c r="F29" s="3035">
        <f>'数据-取费表'!B41</f>
        <v>5.5000000000000007E-2</v>
      </c>
      <c r="G29" s="2820" t="s">
        <v>498</v>
      </c>
      <c r="H29" s="2812"/>
      <c r="I29" s="2812"/>
      <c r="J29" s="2812"/>
      <c r="K29" s="2813"/>
    </row>
    <row r="30" spans="1:14" s="2120" customFormat="1" ht="13.5" customHeight="1">
      <c r="A30" s="1633" t="s">
        <v>1864</v>
      </c>
      <c r="B30" s="2861" t="s">
        <v>500</v>
      </c>
      <c r="C30" s="2856">
        <f ca="1">C31</f>
        <v>125476</v>
      </c>
      <c r="D30" s="476">
        <f ca="1">C32</f>
        <v>0.12909999999999999</v>
      </c>
      <c r="E30" s="468" t="s">
        <v>495</v>
      </c>
      <c r="F30" s="470"/>
      <c r="G30" s="2819" t="s">
        <v>2970</v>
      </c>
      <c r="H30" s="2812"/>
      <c r="I30" s="2812"/>
      <c r="J30" s="2812"/>
      <c r="K30" s="2813"/>
    </row>
    <row r="31" spans="1:14" s="2119" customFormat="1" ht="13.5" customHeight="1">
      <c r="A31" s="802" t="s">
        <v>1857</v>
      </c>
      <c r="B31" s="2857"/>
      <c r="C31" s="449">
        <f ca="1">C18+C19+C20+C23+C24+C26+C29</f>
        <v>125476</v>
      </c>
      <c r="D31" s="471"/>
      <c r="E31" s="472"/>
      <c r="F31" s="473"/>
      <c r="G31" s="260"/>
      <c r="H31" s="2814"/>
      <c r="I31" s="2814"/>
      <c r="J31" s="2814"/>
      <c r="K31" s="278"/>
    </row>
    <row r="32" spans="1:14" s="2119" customFormat="1" ht="13.5" customHeight="1">
      <c r="A32" s="802" t="s">
        <v>1858</v>
      </c>
      <c r="B32" s="2857"/>
      <c r="C32" s="52">
        <f ca="1">ROUND(C25+D26,4)</f>
        <v>0.12909999999999999</v>
      </c>
      <c r="D32" s="471"/>
      <c r="E32" s="472"/>
      <c r="F32" s="473"/>
      <c r="G32" s="260"/>
      <c r="H32" s="2814"/>
      <c r="I32" s="2814"/>
      <c r="J32" s="2814"/>
      <c r="K32" s="278"/>
    </row>
    <row r="33" spans="1:11" s="2121" customFormat="1" ht="13.5" customHeight="1">
      <c r="A33" s="3032" t="s">
        <v>2834</v>
      </c>
      <c r="B33" s="3030" t="s">
        <v>2832</v>
      </c>
      <c r="C33" s="477">
        <f ca="1">C35</f>
        <v>2999</v>
      </c>
      <c r="D33" s="466">
        <f ca="1">C34</f>
        <v>3.09E-2</v>
      </c>
      <c r="E33" s="468" t="s">
        <v>495</v>
      </c>
      <c r="F33" s="478">
        <f ca="1">IF(B1="",'数据-取费表'!Q16,INDIRECT("'数据-取费表'!q"&amp;$K$1))</f>
        <v>0.03</v>
      </c>
      <c r="G33" s="2815"/>
      <c r="H33" s="2816"/>
      <c r="I33" s="2816"/>
      <c r="J33" s="2816"/>
      <c r="K33" s="2817"/>
    </row>
    <row r="34" spans="1:11" s="2122" customFormat="1" ht="13.5" customHeight="1">
      <c r="A34" s="374" t="s">
        <v>1857</v>
      </c>
      <c r="B34" s="2862" t="s">
        <v>501</v>
      </c>
      <c r="C34" s="471">
        <f ca="1">ROUND((1+C25)*F33,4)</f>
        <v>3.09E-2</v>
      </c>
      <c r="D34" s="471"/>
      <c r="E34" s="472"/>
      <c r="F34" s="479"/>
      <c r="G34" s="260" t="s">
        <v>2292</v>
      </c>
      <c r="H34" s="2814"/>
      <c r="I34" s="2814"/>
      <c r="J34" s="2814"/>
      <c r="K34" s="278"/>
    </row>
    <row r="35" spans="1:11" s="2122" customFormat="1" ht="13.5" customHeight="1" thickBot="1">
      <c r="A35" s="1634" t="s">
        <v>1858</v>
      </c>
      <c r="B35" s="3031" t="s">
        <v>2840</v>
      </c>
      <c r="C35" s="1626">
        <f ca="1">ROUND((C18+C19+C20+C23+C24)*F33,0)</f>
        <v>2999</v>
      </c>
      <c r="D35" s="1627"/>
      <c r="E35" s="2863"/>
      <c r="F35" s="1628"/>
      <c r="G35" s="2821"/>
      <c r="H35" s="2822"/>
      <c r="I35" s="2822"/>
      <c r="J35" s="2822"/>
      <c r="K35" s="2823"/>
    </row>
    <row r="36" spans="1:11" s="2084" customFormat="1" ht="13.5" customHeight="1" thickBot="1">
      <c r="A36" s="283" t="s">
        <v>1845</v>
      </c>
      <c r="B36" s="2825"/>
      <c r="C36" s="2864">
        <f ca="1">ROUND((C6-C30-C33)/(1+D30+D33),0)</f>
        <v>230661</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0" sqref="C10"/>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08"/>
      <c r="C1" s="2103"/>
      <c r="D1" s="2103"/>
      <c r="E1" s="2103"/>
      <c r="F1" s="2103"/>
      <c r="G1" s="2103"/>
      <c r="H1" s="2103"/>
      <c r="I1" s="2103"/>
      <c r="J1" s="2103"/>
      <c r="K1" s="421">
        <f>MATCH(B1,'数据-取费表'!A6:A16,0)+5</f>
        <v>9</v>
      </c>
    </row>
    <row r="2" spans="1:41" s="2040" customFormat="1" ht="18" customHeight="1">
      <c r="A2" s="422" t="s">
        <v>467</v>
      </c>
      <c r="B2" s="423">
        <f ca="1">C32</f>
        <v>176791.80329322862</v>
      </c>
      <c r="C2" s="2103"/>
      <c r="D2" s="2103"/>
      <c r="E2" s="2103"/>
      <c r="F2" s="2103"/>
      <c r="G2" s="2103"/>
      <c r="H2" s="2103"/>
      <c r="I2" s="2103"/>
      <c r="J2" s="2103"/>
      <c r="K2" s="2103"/>
    </row>
    <row r="3" spans="1:41" s="2040" customFormat="1" ht="18" customHeight="1">
      <c r="A3" s="1377" t="s">
        <v>1685</v>
      </c>
      <c r="B3" s="424">
        <f ca="1">ROUND(B2*10000/IF(B1="",'数据-汇总表'!E3,INDIRECT("'数据-取费表'!K"&amp;$K$1)),0)</f>
        <v>6429</v>
      </c>
      <c r="C3" s="2103"/>
      <c r="D3" s="2103"/>
      <c r="E3" s="2103"/>
      <c r="F3" s="2103"/>
      <c r="G3" s="2103"/>
      <c r="H3" s="2103"/>
      <c r="I3" s="2103"/>
      <c r="J3" s="2103"/>
      <c r="K3" s="2103"/>
    </row>
    <row r="4" spans="1:41" s="2040" customFormat="1" ht="18" customHeight="1">
      <c r="A4" s="425" t="s">
        <v>468</v>
      </c>
      <c r="B4" s="426">
        <f ca="1">ROUND(B2*10000/IF(B1="",'数据-汇总表'!D3,INDIRECT("'数据-取费表'!R"&amp;$K$1)),0)</f>
        <v>20367</v>
      </c>
      <c r="C4" s="2060"/>
      <c r="D4" s="2103"/>
      <c r="E4" s="2103"/>
      <c r="F4" s="2103"/>
      <c r="G4" s="2103"/>
      <c r="H4" s="2103"/>
      <c r="I4" s="2103"/>
      <c r="J4" s="2103"/>
      <c r="K4" s="2103"/>
    </row>
    <row r="5" spans="1:41" s="2040" customFormat="1" ht="18" customHeight="1" thickBot="1">
      <c r="A5" s="428"/>
      <c r="B5" s="429">
        <f ca="1">ROUND(B2/(IF(B1="",'数据-汇总表'!D3,INDIRECT("'数据-取费表'!R"&amp;$K$1))/666.67),0)</f>
        <v>1358</v>
      </c>
      <c r="C5" s="430" t="s">
        <v>469</v>
      </c>
      <c r="D5" s="2103"/>
      <c r="E5" s="2103"/>
      <c r="F5" s="2103"/>
      <c r="G5" s="2103"/>
      <c r="H5" s="2103"/>
      <c r="I5" s="2103"/>
      <c r="J5" s="2103"/>
      <c r="K5" s="2103"/>
    </row>
    <row r="6" spans="1:41" s="2110" customFormat="1" ht="16.5" customHeight="1">
      <c r="A6" s="431" t="s">
        <v>2653</v>
      </c>
      <c r="B6" s="432"/>
      <c r="C6" s="1621">
        <f>SUM(C10:K10)</f>
        <v>216720</v>
      </c>
      <c r="D6" s="2108"/>
      <c r="E6" s="2108"/>
      <c r="F6" s="2108"/>
      <c r="G6" s="2108"/>
      <c r="H6" s="2108"/>
      <c r="I6" s="2108"/>
      <c r="J6" s="2108"/>
      <c r="K6" s="2109"/>
    </row>
    <row r="7" spans="1:41" s="2112" customFormat="1" ht="15">
      <c r="A7" s="433" t="s">
        <v>470</v>
      </c>
      <c r="B7" s="434" t="s">
        <v>471</v>
      </c>
      <c r="C7" s="435" t="s">
        <v>923</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7" t="s">
        <v>472</v>
      </c>
      <c r="C8" s="438">
        <v>12000</v>
      </c>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7" t="s">
        <v>473</v>
      </c>
      <c r="C9" s="440">
        <f>SUMIF('数据-汇总表'!$C19:$C33,'剩余法-现房'!C7,'数据-汇总表'!$E19:$E33)</f>
        <v>180600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f>ROUND(C8*C9/10000,0)</f>
        <v>216720</v>
      </c>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1849</v>
      </c>
      <c r="B13" s="448" t="s">
        <v>479</v>
      </c>
      <c r="C13" s="449">
        <f ca="1">IF(B1="",'数据-取费表'!M16,INDIRECT("'数据-取费表'!M"&amp;$K$1)+INDIRECT("'数据-取费表'!t"&amp;$K$1))</f>
        <v>72190</v>
      </c>
      <c r="D13" s="450"/>
      <c r="E13" s="364"/>
      <c r="F13" s="451"/>
      <c r="G13" s="443"/>
      <c r="H13" s="446"/>
      <c r="I13" s="446"/>
      <c r="J13" s="446"/>
      <c r="K13" s="447"/>
    </row>
    <row r="14" spans="1:41" s="2115" customFormat="1" ht="13.5" customHeight="1">
      <c r="A14" s="1631" t="s">
        <v>1850</v>
      </c>
      <c r="B14" s="448" t="s">
        <v>480</v>
      </c>
      <c r="C14" s="52">
        <f ca="1">ROUND(C13*F14,0)</f>
        <v>2166</v>
      </c>
      <c r="D14" s="450"/>
      <c r="E14" s="364"/>
      <c r="F14" s="452">
        <f>'数据-取费表'!B33</f>
        <v>0.03</v>
      </c>
      <c r="G14" s="443" t="s">
        <v>502</v>
      </c>
      <c r="H14" s="446"/>
      <c r="I14" s="446"/>
      <c r="J14" s="446"/>
      <c r="K14" s="447"/>
    </row>
    <row r="15" spans="1:41" s="2115" customFormat="1" ht="13.5" customHeight="1">
      <c r="A15" s="1631" t="s">
        <v>1851</v>
      </c>
      <c r="B15" s="448" t="s">
        <v>482</v>
      </c>
      <c r="C15" s="52">
        <f ca="1">ROUND(IF(B1="",SUMIF('数据-取费表'!C:C,"住宅",'数据-取费表'!M:M)*F15,IF(INDIRECT("'数据-取费表'!c"&amp;$K$1)="住宅",INDIRECT("'数据-取费表'!M"&amp;$K$1)*F15,0)),0)</f>
        <v>2709</v>
      </c>
      <c r="D15" s="450"/>
      <c r="E15" s="364"/>
      <c r="F15" s="452">
        <f>'数据-取费表'!B34</f>
        <v>0.05</v>
      </c>
      <c r="G15" s="443" t="s">
        <v>502</v>
      </c>
      <c r="H15" s="446"/>
      <c r="I15" s="446"/>
      <c r="J15" s="446"/>
      <c r="K15" s="447"/>
    </row>
    <row r="16" spans="1:41" s="2116" customFormat="1" ht="13.5" customHeight="1">
      <c r="A16" s="1631" t="s">
        <v>1852</v>
      </c>
      <c r="B16" s="448" t="s">
        <v>484</v>
      </c>
      <c r="C16" s="52">
        <f ca="1">ROUND(D16*E16/10000,0)</f>
        <v>5500</v>
      </c>
      <c r="D16" s="450">
        <f ca="1">IF(B1="",'数据-汇总表'!E3,INDIRECT("'数据-取费表'!K"&amp;$K$1)+INDIRECT("'数据-取费表'!S"&amp;$K$1))</f>
        <v>275000</v>
      </c>
      <c r="E16" s="52">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8" t="s">
        <v>485</v>
      </c>
      <c r="C17" s="453">
        <f ca="1">ROUND(C13*F17,0)</f>
        <v>1083</v>
      </c>
      <c r="D17" s="454"/>
      <c r="E17" s="453"/>
      <c r="F17" s="455">
        <f>'数据-取费表'!B36</f>
        <v>1.4999999999999999E-2</v>
      </c>
      <c r="G17" s="443" t="s">
        <v>502</v>
      </c>
      <c r="H17" s="456"/>
      <c r="I17" s="456"/>
      <c r="J17" s="456"/>
      <c r="K17" s="457"/>
    </row>
    <row r="18" spans="1:14" s="2118" customFormat="1" ht="13.5" customHeight="1">
      <c r="A18" s="1632" t="s">
        <v>1854</v>
      </c>
      <c r="B18" s="458" t="s">
        <v>487</v>
      </c>
      <c r="C18" s="459">
        <f ca="1">SUM(C13:C17)</f>
        <v>83648</v>
      </c>
      <c r="D18" s="460"/>
      <c r="E18" s="461"/>
      <c r="F18" s="461"/>
      <c r="G18" s="1325" t="s">
        <v>2433</v>
      </c>
      <c r="H18" s="446"/>
      <c r="I18" s="446"/>
      <c r="J18" s="446"/>
      <c r="K18" s="447"/>
    </row>
    <row r="19" spans="1:14" s="2118" customFormat="1" ht="13.5" customHeight="1">
      <c r="A19" s="1632" t="s">
        <v>1855</v>
      </c>
      <c r="B19" s="458" t="s">
        <v>493</v>
      </c>
      <c r="C19" s="459">
        <f ca="1">ROUND(C18*F19,0)</f>
        <v>1673</v>
      </c>
      <c r="D19" s="461"/>
      <c r="E19" s="461"/>
      <c r="F19" s="465">
        <f>'数据-取费表'!B37</f>
        <v>0.02</v>
      </c>
      <c r="G19" s="443" t="s">
        <v>503</v>
      </c>
      <c r="H19" s="446"/>
      <c r="I19" s="446"/>
      <c r="J19" s="446"/>
      <c r="K19" s="447"/>
      <c r="L19" s="2120"/>
      <c r="M19" s="2120"/>
      <c r="N19" s="2120"/>
    </row>
    <row r="20" spans="1:14" s="2118" customFormat="1" ht="13.5" customHeight="1">
      <c r="A20" s="1632" t="s">
        <v>1856</v>
      </c>
      <c r="B20" s="458" t="s">
        <v>504</v>
      </c>
      <c r="C20" s="3028">
        <f>F20</f>
        <v>0.02</v>
      </c>
      <c r="D20" s="468" t="s">
        <v>505</v>
      </c>
      <c r="E20" s="468"/>
      <c r="F20" s="485">
        <f>'数据-取费表'!B38</f>
        <v>0.02</v>
      </c>
      <c r="G20" s="1325" t="s">
        <v>506</v>
      </c>
      <c r="H20" s="446"/>
      <c r="I20" s="446"/>
      <c r="J20" s="446"/>
      <c r="K20" s="447"/>
      <c r="L20" s="2120"/>
      <c r="M20" s="2120"/>
      <c r="N20" s="2120"/>
    </row>
    <row r="21" spans="1:14" s="2120" customFormat="1" ht="13.5" customHeight="1">
      <c r="A21" s="1632" t="s">
        <v>1859</v>
      </c>
      <c r="B21" s="460" t="s">
        <v>494</v>
      </c>
      <c r="C21" s="469">
        <f ca="1">C22</f>
        <v>4053</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1" t="s">
        <v>1849</v>
      </c>
      <c r="B22" s="1326" t="s">
        <v>2436</v>
      </c>
      <c r="C22" s="486">
        <f ca="1">ROUND(IF('数据-取费表'!B22&lt;=1,(C18+C19)*F21*'数据-取费表'!B20/2,(C18+C19)*(POWER((1+F21),'数据-取费表'!B20/2)-1)),0)</f>
        <v>4053</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1850</v>
      </c>
      <c r="B23" s="1326" t="s">
        <v>508</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1860</v>
      </c>
      <c r="B24" s="3030" t="s">
        <v>2833</v>
      </c>
      <c r="C24" s="477">
        <f ca="1">C25</f>
        <v>2560</v>
      </c>
      <c r="D24" s="488">
        <f ca="1">C26</f>
        <v>5.9999999999999995E-4</v>
      </c>
      <c r="E24" s="468" t="s">
        <v>507</v>
      </c>
      <c r="F24" s="478">
        <f ca="1">IF(B1="",'数据-取费表'!Q16,INDIRECT("'数据-取费表'!q"&amp;$K$1))</f>
        <v>0.03</v>
      </c>
      <c r="G24" s="443"/>
      <c r="H24" s="446"/>
      <c r="I24" s="446"/>
      <c r="J24" s="446"/>
      <c r="K24" s="447"/>
    </row>
    <row r="25" spans="1:14" s="2119" customFormat="1" ht="13.5" customHeight="1">
      <c r="A25" s="1631" t="s">
        <v>1849</v>
      </c>
      <c r="B25" s="1326" t="s">
        <v>2437</v>
      </c>
      <c r="C25" s="489">
        <f ca="1">ROUND((C18+C19)*F24,0)</f>
        <v>2560</v>
      </c>
      <c r="D25" s="471"/>
      <c r="E25" s="472"/>
      <c r="F25" s="479"/>
      <c r="G25" s="1324" t="s">
        <v>2434</v>
      </c>
      <c r="H25" s="456"/>
      <c r="I25" s="456"/>
      <c r="J25" s="456"/>
      <c r="K25" s="457"/>
    </row>
    <row r="26" spans="1:14" s="2119" customFormat="1" ht="13.5" customHeight="1">
      <c r="A26" s="1631" t="s">
        <v>1850</v>
      </c>
      <c r="B26" s="1326" t="s">
        <v>509</v>
      </c>
      <c r="C26" s="490">
        <f ca="1">ROUND(F20*F24,4)</f>
        <v>5.9999999999999995E-4</v>
      </c>
      <c r="D26" s="471"/>
      <c r="E26" s="480"/>
      <c r="F26" s="479"/>
      <c r="G26" s="1324" t="s">
        <v>510</v>
      </c>
      <c r="H26" s="456"/>
      <c r="I26" s="456"/>
      <c r="J26" s="456"/>
      <c r="K26" s="457"/>
    </row>
    <row r="27" spans="1:14" s="2119" customFormat="1" ht="13.5" customHeight="1">
      <c r="A27" s="1635" t="s">
        <v>1868</v>
      </c>
      <c r="B27" s="458" t="s">
        <v>511</v>
      </c>
      <c r="C27" s="3029">
        <f>ROUND(F27/(1+'数据-取费表'!C42),4)</f>
        <v>5.2400000000000002E-2</v>
      </c>
      <c r="D27" s="461" t="s">
        <v>2831</v>
      </c>
      <c r="E27" s="461"/>
      <c r="F27" s="465">
        <f>'数据-取费表'!B41</f>
        <v>5.5000000000000007E-2</v>
      </c>
      <c r="G27" s="1959" t="s">
        <v>2293</v>
      </c>
      <c r="H27" s="446"/>
      <c r="I27" s="446"/>
      <c r="J27" s="446"/>
      <c r="K27" s="447"/>
    </row>
    <row r="28" spans="1:14" s="2120" customFormat="1" ht="13.5" customHeight="1">
      <c r="A28" s="1635" t="s">
        <v>1869</v>
      </c>
      <c r="B28" s="475" t="s">
        <v>512</v>
      </c>
      <c r="C28" s="469">
        <f ca="1">ROUND((C18+C19+C21+C24)/(1-C20-D21-D24-C27),0)</f>
        <v>99281</v>
      </c>
      <c r="D28" s="476"/>
      <c r="E28" s="468"/>
      <c r="F28" s="470"/>
      <c r="G28" s="1325" t="s">
        <v>2435</v>
      </c>
      <c r="H28" s="446"/>
      <c r="I28" s="446"/>
      <c r="J28" s="446"/>
      <c r="K28" s="447"/>
    </row>
    <row r="29" spans="1:14" s="2120" customFormat="1" ht="13.5" customHeight="1">
      <c r="A29" s="1635"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481" t="s">
        <v>1866</v>
      </c>
      <c r="B31" s="1328"/>
      <c r="C31" s="499">
        <f>ROUND(C6*F31/(1+'数据-取费表'!C42),0)</f>
        <v>11352</v>
      </c>
      <c r="D31" s="1329"/>
      <c r="E31" s="1329"/>
      <c r="F31" s="500">
        <f>'数据-取费表'!B41</f>
        <v>5.5000000000000007E-2</v>
      </c>
      <c r="G31" s="1330"/>
      <c r="H31" s="1330"/>
      <c r="I31" s="1330"/>
      <c r="J31" s="1331"/>
      <c r="K31" s="1332"/>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176791.80329322862</v>
      </c>
      <c r="D32" s="482"/>
      <c r="E32" s="482"/>
      <c r="F32" s="482"/>
      <c r="G32" s="2482" t="s">
        <v>2971</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521</v>
      </c>
      <c r="B6" s="512"/>
      <c r="C6" s="3410" t="s">
        <v>522</v>
      </c>
      <c r="D6" s="3411"/>
      <c r="E6" s="3435" t="s">
        <v>523</v>
      </c>
      <c r="F6" s="3436"/>
      <c r="G6" s="3410" t="s">
        <v>524</v>
      </c>
      <c r="H6" s="3411"/>
      <c r="I6" s="3410" t="s">
        <v>525</v>
      </c>
      <c r="J6" s="3411"/>
      <c r="K6" s="513" t="s">
        <v>526</v>
      </c>
      <c r="L6" s="2132"/>
      <c r="M6" s="2133"/>
      <c r="N6" s="2133"/>
      <c r="O6" s="2133"/>
      <c r="P6" s="3412" t="s">
        <v>527</v>
      </c>
      <c r="Q6" s="3413"/>
      <c r="R6" s="3398" t="s">
        <v>523</v>
      </c>
      <c r="S6" s="3399"/>
      <c r="T6" s="3398" t="s">
        <v>524</v>
      </c>
      <c r="U6" s="3399"/>
      <c r="V6" s="3418" t="s">
        <v>525</v>
      </c>
      <c r="W6" s="3418"/>
      <c r="X6" s="1565"/>
      <c r="Y6" s="3398" t="s">
        <v>527</v>
      </c>
      <c r="Z6" s="3399"/>
      <c r="AA6" s="3393" t="s">
        <v>523</v>
      </c>
      <c r="AB6" s="3394" t="s">
        <v>524</v>
      </c>
      <c r="AC6" s="3393" t="s">
        <v>525</v>
      </c>
    </row>
    <row r="7" spans="1:29" ht="15">
      <c r="A7" s="514"/>
      <c r="B7" s="515"/>
      <c r="C7" s="3421" t="s">
        <v>2925</v>
      </c>
      <c r="D7" s="3422"/>
      <c r="E7" s="3437" t="s">
        <v>2926</v>
      </c>
      <c r="F7" s="3438"/>
      <c r="G7" s="3421" t="s">
        <v>2927</v>
      </c>
      <c r="H7" s="3422"/>
      <c r="I7" s="3421" t="s">
        <v>2928</v>
      </c>
      <c r="J7" s="3422"/>
      <c r="K7" s="513"/>
      <c r="L7" s="2132"/>
      <c r="M7" s="2133"/>
      <c r="N7" s="2133"/>
      <c r="O7" s="2133"/>
      <c r="P7" s="3414"/>
      <c r="Q7" s="3415"/>
      <c r="R7" s="3400"/>
      <c r="S7" s="3401"/>
      <c r="T7" s="3400"/>
      <c r="U7" s="3401"/>
      <c r="V7" s="3418"/>
      <c r="W7" s="3418"/>
      <c r="X7" s="1565"/>
      <c r="Y7" s="3400"/>
      <c r="Z7" s="3401"/>
      <c r="AA7" s="3394"/>
      <c r="AB7" s="3394"/>
      <c r="AC7" s="3394"/>
    </row>
    <row r="8" spans="1:29" ht="15.75" thickBot="1">
      <c r="A8" s="516"/>
      <c r="B8" s="517"/>
      <c r="C8" s="3419" t="s">
        <v>2929</v>
      </c>
      <c r="D8" s="3420"/>
      <c r="E8" s="3439" t="s">
        <v>2929</v>
      </c>
      <c r="F8" s="3440"/>
      <c r="G8" s="3419" t="s">
        <v>2929</v>
      </c>
      <c r="H8" s="3420"/>
      <c r="I8" s="3419" t="s">
        <v>2929</v>
      </c>
      <c r="J8" s="3420"/>
      <c r="K8" s="513" t="s">
        <v>528</v>
      </c>
      <c r="L8" s="2132"/>
      <c r="M8" s="2133"/>
      <c r="N8" s="2133"/>
      <c r="O8" s="2133"/>
      <c r="P8" s="3416"/>
      <c r="Q8" s="3417"/>
      <c r="R8" s="3400"/>
      <c r="S8" s="3401"/>
      <c r="T8" s="3402"/>
      <c r="U8" s="3403"/>
      <c r="V8" s="3418"/>
      <c r="W8" s="3418"/>
      <c r="X8" s="1565"/>
      <c r="Y8" s="3402"/>
      <c r="Z8" s="3403"/>
      <c r="AA8" s="3395"/>
      <c r="AB8" s="3395"/>
      <c r="AC8" s="3395"/>
    </row>
    <row r="9" spans="1:29" s="1218" customFormat="1" ht="15.75" thickBot="1">
      <c r="A9" s="2911"/>
      <c r="B9" s="2918" t="s">
        <v>529</v>
      </c>
      <c r="C9" s="518">
        <f>'数据-取费表'!B2</f>
        <v>43314</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96" t="s">
        <v>530</v>
      </c>
      <c r="Q9" s="3405"/>
      <c r="R9" s="1566" t="s">
        <v>8</v>
      </c>
      <c r="S9" s="1567">
        <f t="shared" ref="S9:S17" si="0">F9</f>
        <v>0</v>
      </c>
      <c r="T9" s="1566" t="s">
        <v>8</v>
      </c>
      <c r="U9" s="1567">
        <f t="shared" ref="U9:U17" si="1">H9</f>
        <v>0</v>
      </c>
      <c r="V9" s="1566" t="s">
        <v>8</v>
      </c>
      <c r="W9" s="1567">
        <f t="shared" ref="W9:W17" si="2">J9</f>
        <v>0</v>
      </c>
      <c r="X9" s="1568"/>
      <c r="Y9" s="3396" t="s">
        <v>530</v>
      </c>
      <c r="Z9" s="3397"/>
      <c r="AA9" s="1569" t="e">
        <f>D9/F9</f>
        <v>#DIV/0!</v>
      </c>
      <c r="AB9" s="1569" t="e">
        <f>D9/H9</f>
        <v>#DIV/0!</v>
      </c>
      <c r="AC9" s="1569" t="e">
        <f>D9/J9</f>
        <v>#DIV/0!</v>
      </c>
    </row>
    <row r="10" spans="1:29" s="1218" customFormat="1" ht="15.7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96" t="s">
        <v>533</v>
      </c>
      <c r="Q10" s="3397"/>
      <c r="R10" s="1566" t="s">
        <v>8</v>
      </c>
      <c r="S10" s="1567">
        <f t="shared" si="0"/>
        <v>0</v>
      </c>
      <c r="T10" s="1566" t="s">
        <v>8</v>
      </c>
      <c r="U10" s="1567">
        <f t="shared" si="1"/>
        <v>0</v>
      </c>
      <c r="V10" s="1566" t="s">
        <v>8</v>
      </c>
      <c r="W10" s="1567">
        <f t="shared" si="2"/>
        <v>0</v>
      </c>
      <c r="X10" s="1568"/>
      <c r="Y10" s="3396" t="s">
        <v>533</v>
      </c>
      <c r="Z10" s="3397"/>
      <c r="AA10" s="1569" t="e">
        <f t="shared" ref="AA10:AA42" si="3">D10/F10</f>
        <v>#DIV/0!</v>
      </c>
      <c r="AB10" s="1569" t="e">
        <f t="shared" ref="AB10:AB42" si="4">D10/H10</f>
        <v>#DIV/0!</v>
      </c>
      <c r="AC10" s="1569" t="e">
        <f t="shared" ref="AC10:AC42" si="5">D10/J10</f>
        <v>#DIV/0!</v>
      </c>
    </row>
    <row r="11" spans="1:29" s="1218" customFormat="1" ht="15">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404" t="s">
        <v>535</v>
      </c>
      <c r="Q11" s="1149" t="str">
        <f t="shared" ref="Q11:Q17" si="6">B11</f>
        <v>用途</v>
      </c>
      <c r="R11" s="1566" t="s">
        <v>8</v>
      </c>
      <c r="S11" s="1567">
        <f t="shared" si="0"/>
        <v>100</v>
      </c>
      <c r="T11" s="1566" t="s">
        <v>8</v>
      </c>
      <c r="U11" s="1567">
        <f t="shared" si="1"/>
        <v>100</v>
      </c>
      <c r="V11" s="1566" t="s">
        <v>8</v>
      </c>
      <c r="W11" s="1567">
        <f t="shared" si="2"/>
        <v>100</v>
      </c>
      <c r="X11" s="1568"/>
      <c r="Y11" s="3343" t="s">
        <v>536</v>
      </c>
      <c r="Z11" s="1148" t="str">
        <f t="shared" ref="Z11:Z17" si="7">Q11</f>
        <v>用途</v>
      </c>
      <c r="AA11" s="1569">
        <f t="shared" si="3"/>
        <v>1</v>
      </c>
      <c r="AB11" s="1569">
        <f t="shared" si="4"/>
        <v>1</v>
      </c>
      <c r="AC11" s="1569">
        <f t="shared" si="5"/>
        <v>1</v>
      </c>
    </row>
    <row r="12" spans="1:29" s="1336" customFormat="1" ht="27">
      <c r="A12" s="2914"/>
      <c r="B12" s="2919" t="s">
        <v>2758</v>
      </c>
      <c r="C12" s="527"/>
      <c r="D12" s="254">
        <v>100</v>
      </c>
      <c r="E12" s="527"/>
      <c r="F12" s="254">
        <f>ROUND(100/'数据-取费表'!G16,0)</f>
        <v>104</v>
      </c>
      <c r="G12" s="527"/>
      <c r="H12" s="254">
        <f>ROUND(100/'数据-取费表'!G16,0)</f>
        <v>104</v>
      </c>
      <c r="I12" s="527"/>
      <c r="J12" s="254">
        <f>ROUND(100/'数据-取费表'!G16,0)</f>
        <v>104</v>
      </c>
      <c r="K12" s="530"/>
      <c r="L12" s="2137"/>
      <c r="M12" s="2177"/>
      <c r="N12" s="2177"/>
      <c r="O12" s="2138"/>
      <c r="P12" s="3404"/>
      <c r="Q12" s="1149" t="str">
        <f t="shared" si="6"/>
        <v>土地使用年限（年）</v>
      </c>
      <c r="R12" s="1566" t="s">
        <v>8</v>
      </c>
      <c r="S12" s="1567">
        <f t="shared" si="0"/>
        <v>104</v>
      </c>
      <c r="T12" s="1566" t="s">
        <v>8</v>
      </c>
      <c r="U12" s="1567">
        <f t="shared" si="1"/>
        <v>104</v>
      </c>
      <c r="V12" s="1566" t="s">
        <v>8</v>
      </c>
      <c r="W12" s="1567">
        <f t="shared" si="2"/>
        <v>104</v>
      </c>
      <c r="X12" s="1568"/>
      <c r="Y12" s="3343"/>
      <c r="Z12" s="1148" t="str">
        <f t="shared" si="7"/>
        <v>土地使用年限（年）</v>
      </c>
      <c r="AA12" s="1569">
        <f t="shared" si="3"/>
        <v>0.96153846153846156</v>
      </c>
      <c r="AB12" s="1569">
        <f t="shared" si="4"/>
        <v>0.96153846153846156</v>
      </c>
      <c r="AC12" s="1569">
        <f t="shared" si="5"/>
        <v>0.96153846153846156</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404"/>
      <c r="Q13" s="1149" t="str">
        <f t="shared" si="6"/>
        <v>容积率</v>
      </c>
      <c r="R13" s="1566" t="s">
        <v>8</v>
      </c>
      <c r="S13" s="1567" t="e">
        <f t="shared" si="0"/>
        <v>#N/A</v>
      </c>
      <c r="T13" s="1566" t="s">
        <v>8</v>
      </c>
      <c r="U13" s="1567" t="e">
        <f t="shared" si="1"/>
        <v>#N/A</v>
      </c>
      <c r="V13" s="1566" t="s">
        <v>8</v>
      </c>
      <c r="W13" s="1567" t="e">
        <f t="shared" si="2"/>
        <v>#N/A</v>
      </c>
      <c r="X13" s="1568"/>
      <c r="Y13" s="3343"/>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404"/>
      <c r="Q14" s="1149">
        <f t="shared" si="6"/>
        <v>111</v>
      </c>
      <c r="R14" s="1566" t="s">
        <v>8</v>
      </c>
      <c r="S14" s="1567">
        <f t="shared" si="0"/>
        <v>100</v>
      </c>
      <c r="T14" s="1566" t="s">
        <v>8</v>
      </c>
      <c r="U14" s="1567">
        <f t="shared" si="1"/>
        <v>100</v>
      </c>
      <c r="V14" s="1566" t="s">
        <v>8</v>
      </c>
      <c r="W14" s="1567">
        <f t="shared" si="2"/>
        <v>100</v>
      </c>
      <c r="X14" s="1568"/>
      <c r="Y14" s="3343"/>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404"/>
      <c r="Q15" s="1149">
        <f t="shared" si="6"/>
        <v>111</v>
      </c>
      <c r="R15" s="1566" t="s">
        <v>8</v>
      </c>
      <c r="S15" s="1567">
        <f t="shared" si="0"/>
        <v>100</v>
      </c>
      <c r="T15" s="1566" t="s">
        <v>8</v>
      </c>
      <c r="U15" s="1567">
        <f t="shared" si="1"/>
        <v>100</v>
      </c>
      <c r="V15" s="1566" t="s">
        <v>8</v>
      </c>
      <c r="W15" s="1567">
        <f t="shared" si="2"/>
        <v>100</v>
      </c>
      <c r="X15" s="1568"/>
      <c r="Y15" s="3343"/>
      <c r="Z15" s="1148">
        <f t="shared" si="7"/>
        <v>111</v>
      </c>
      <c r="AA15" s="1569">
        <f t="shared" si="3"/>
        <v>1</v>
      </c>
      <c r="AB15" s="1569">
        <f t="shared" si="4"/>
        <v>1</v>
      </c>
      <c r="AC15" s="1569">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04"/>
      <c r="Q16" s="1149">
        <f t="shared" si="6"/>
        <v>111</v>
      </c>
      <c r="R16" s="1566" t="s">
        <v>8</v>
      </c>
      <c r="S16" s="1567">
        <f t="shared" si="0"/>
        <v>100</v>
      </c>
      <c r="T16" s="1566" t="s">
        <v>8</v>
      </c>
      <c r="U16" s="1567">
        <f t="shared" si="1"/>
        <v>100</v>
      </c>
      <c r="V16" s="1566" t="s">
        <v>8</v>
      </c>
      <c r="W16" s="1567">
        <f t="shared" si="2"/>
        <v>100</v>
      </c>
      <c r="X16" s="1568"/>
      <c r="Y16" s="3343"/>
      <c r="Z16" s="1148">
        <f t="shared" si="7"/>
        <v>111</v>
      </c>
      <c r="AA16" s="1569">
        <f t="shared" si="3"/>
        <v>1</v>
      </c>
      <c r="AB16" s="1569">
        <f t="shared" si="4"/>
        <v>1</v>
      </c>
      <c r="AC16" s="1569">
        <f t="shared" si="5"/>
        <v>1</v>
      </c>
    </row>
    <row r="17" spans="1:29" ht="57">
      <c r="A17" s="2909" t="s">
        <v>2755</v>
      </c>
      <c r="B17" s="165"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06" t="s">
        <v>540</v>
      </c>
      <c r="Q17" s="1570" t="str">
        <f t="shared" si="6"/>
        <v>产业集聚程度</v>
      </c>
      <c r="R17" s="1571" t="s">
        <v>8</v>
      </c>
      <c r="S17" s="1572">
        <f t="shared" si="0"/>
        <v>100</v>
      </c>
      <c r="T17" s="1571" t="s">
        <v>8</v>
      </c>
      <c r="U17" s="1572">
        <f t="shared" si="1"/>
        <v>100</v>
      </c>
      <c r="V17" s="1571" t="s">
        <v>8</v>
      </c>
      <c r="W17" s="1572">
        <f t="shared" si="2"/>
        <v>100</v>
      </c>
      <c r="X17" s="1565"/>
      <c r="Y17" s="3406"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07"/>
      <c r="Q18" s="1570"/>
      <c r="R18" s="1571"/>
      <c r="S18" s="1572"/>
      <c r="T18" s="1571"/>
      <c r="U18" s="1572"/>
      <c r="V18" s="1571"/>
      <c r="W18" s="1572"/>
      <c r="X18" s="1565"/>
      <c r="Y18" s="3407"/>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07"/>
      <c r="Q19" s="1570" t="str">
        <f>B19</f>
        <v>交通便捷度</v>
      </c>
      <c r="R19" s="1571" t="s">
        <v>8</v>
      </c>
      <c r="S19" s="1572">
        <f>F19</f>
        <v>100</v>
      </c>
      <c r="T19" s="1571" t="s">
        <v>8</v>
      </c>
      <c r="U19" s="1572">
        <f>H19</f>
        <v>100</v>
      </c>
      <c r="V19" s="1571" t="s">
        <v>8</v>
      </c>
      <c r="W19" s="1572">
        <f>J19</f>
        <v>100</v>
      </c>
      <c r="X19" s="1565"/>
      <c r="Y19" s="3407"/>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407"/>
      <c r="Q20" s="1570"/>
      <c r="R20" s="1571"/>
      <c r="S20" s="1572"/>
      <c r="T20" s="1571"/>
      <c r="U20" s="1572"/>
      <c r="V20" s="1571"/>
      <c r="W20" s="1572"/>
      <c r="X20" s="1565"/>
      <c r="Y20" s="3407"/>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07"/>
      <c r="Q21" s="1570" t="str">
        <f t="shared" ref="Q21:Q35" si="8">B21</f>
        <v>区域土地利用方向</v>
      </c>
      <c r="R21" s="1571" t="s">
        <v>8</v>
      </c>
      <c r="S21" s="1572">
        <f>F21</f>
        <v>100</v>
      </c>
      <c r="T21" s="1571" t="s">
        <v>8</v>
      </c>
      <c r="U21" s="1572">
        <f>H21</f>
        <v>100</v>
      </c>
      <c r="V21" s="1571" t="s">
        <v>8</v>
      </c>
      <c r="W21" s="1572">
        <f>J21</f>
        <v>100</v>
      </c>
      <c r="X21" s="1565"/>
      <c r="Y21" s="3407"/>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07"/>
      <c r="Q22" s="1570"/>
      <c r="R22" s="1571"/>
      <c r="S22" s="1572"/>
      <c r="T22" s="1571"/>
      <c r="U22" s="1572"/>
      <c r="V22" s="1571"/>
      <c r="W22" s="1572"/>
      <c r="X22" s="1565"/>
      <c r="Y22" s="3407"/>
      <c r="Z22" s="1573"/>
      <c r="AA22" s="1574"/>
      <c r="AB22" s="1574"/>
      <c r="AC22" s="1574"/>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07"/>
      <c r="Q23" s="1570" t="str">
        <f t="shared" si="8"/>
        <v>环境状况</v>
      </c>
      <c r="R23" s="1571" t="s">
        <v>8</v>
      </c>
      <c r="S23" s="1572">
        <f>F23</f>
        <v>100</v>
      </c>
      <c r="T23" s="1571" t="s">
        <v>8</v>
      </c>
      <c r="U23" s="1572">
        <f>H23</f>
        <v>100</v>
      </c>
      <c r="V23" s="1571" t="s">
        <v>8</v>
      </c>
      <c r="W23" s="1572">
        <f>J23</f>
        <v>100</v>
      </c>
      <c r="X23" s="1565"/>
      <c r="Y23" s="3407"/>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07"/>
      <c r="Q24" s="1570"/>
      <c r="R24" s="1571"/>
      <c r="S24" s="1572"/>
      <c r="T24" s="1571"/>
      <c r="U24" s="1572"/>
      <c r="V24" s="1571"/>
      <c r="W24" s="1572"/>
      <c r="X24" s="1565"/>
      <c r="Y24" s="3407"/>
      <c r="Z24" s="1573"/>
      <c r="AA24" s="1574">
        <v>1</v>
      </c>
      <c r="AB24" s="1574">
        <v>1</v>
      </c>
      <c r="AC24" s="1574">
        <v>1</v>
      </c>
    </row>
    <row r="25" spans="1:29" s="1218" customFormat="1" ht="42.75">
      <c r="A25" s="576"/>
      <c r="B25" s="259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07"/>
      <c r="Q25" s="1149" t="str">
        <f t="shared" si="8"/>
        <v>公共配套设施</v>
      </c>
      <c r="R25" s="1566" t="s">
        <v>8</v>
      </c>
      <c r="S25" s="1567">
        <f>F25</f>
        <v>100</v>
      </c>
      <c r="T25" s="1566" t="s">
        <v>8</v>
      </c>
      <c r="U25" s="1567">
        <f>H25</f>
        <v>100</v>
      </c>
      <c r="V25" s="1566" t="s">
        <v>8</v>
      </c>
      <c r="W25" s="1567">
        <f>J25</f>
        <v>100</v>
      </c>
      <c r="X25" s="1568"/>
      <c r="Y25" s="3407"/>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407"/>
      <c r="Q26" s="1149"/>
      <c r="R26" s="1566"/>
      <c r="S26" s="1567"/>
      <c r="T26" s="1566"/>
      <c r="U26" s="1567"/>
      <c r="V26" s="1566"/>
      <c r="W26" s="1567"/>
      <c r="X26" s="1568"/>
      <c r="Y26" s="3407"/>
      <c r="Z26" s="1148"/>
      <c r="AA26" s="1569">
        <v>1</v>
      </c>
      <c r="AB26" s="1569">
        <v>1</v>
      </c>
      <c r="AC26" s="1569">
        <v>1</v>
      </c>
    </row>
    <row r="27" spans="1:29" s="1218" customFormat="1" ht="28.5">
      <c r="A27" s="576"/>
      <c r="B27" s="259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07"/>
      <c r="Q27" s="2577" t="str">
        <f t="shared" ref="Q27" si="9">B27</f>
        <v>基础设施水平</v>
      </c>
      <c r="R27" s="1566" t="s">
        <v>8</v>
      </c>
      <c r="S27" s="1567">
        <f>F27</f>
        <v>100</v>
      </c>
      <c r="T27" s="1566" t="s">
        <v>8</v>
      </c>
      <c r="U27" s="1567">
        <f>H27</f>
        <v>100</v>
      </c>
      <c r="V27" s="1566" t="s">
        <v>8</v>
      </c>
      <c r="W27" s="1567">
        <f>J27</f>
        <v>100</v>
      </c>
      <c r="X27" s="1568"/>
      <c r="Y27" s="3407"/>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407"/>
      <c r="Q28" s="2577"/>
      <c r="R28" s="1566"/>
      <c r="S28" s="1567"/>
      <c r="T28" s="1566"/>
      <c r="U28" s="1567"/>
      <c r="V28" s="1566"/>
      <c r="W28" s="1567"/>
      <c r="X28" s="1568"/>
      <c r="Y28" s="3407"/>
      <c r="Z28" s="2574"/>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0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7"/>
      <c r="Z29" s="1573" t="str">
        <f t="shared" ref="Z29:Z42" si="13">Q29</f>
        <v>临街状况</v>
      </c>
      <c r="AA29" s="1574">
        <f t="shared" si="3"/>
        <v>1</v>
      </c>
      <c r="AB29" s="1574">
        <f t="shared" si="4"/>
        <v>1</v>
      </c>
      <c r="AC29" s="1574">
        <f t="shared" si="5"/>
        <v>1</v>
      </c>
    </row>
    <row r="30" spans="1:29" ht="27">
      <c r="A30" s="531"/>
      <c r="B30" s="920" t="s">
        <v>548</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07"/>
      <c r="Q30" s="1570" t="str">
        <f t="shared" si="8"/>
        <v>毗邻道路的类型与等级</v>
      </c>
      <c r="R30" s="1571" t="s">
        <v>8</v>
      </c>
      <c r="S30" s="1572">
        <f t="shared" si="10"/>
        <v>100</v>
      </c>
      <c r="T30" s="1571" t="s">
        <v>8</v>
      </c>
      <c r="U30" s="1572">
        <f t="shared" si="11"/>
        <v>100</v>
      </c>
      <c r="V30" s="1571" t="s">
        <v>8</v>
      </c>
      <c r="W30" s="1572">
        <f t="shared" si="12"/>
        <v>100</v>
      </c>
      <c r="X30" s="1565"/>
      <c r="Y30" s="3407"/>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407"/>
      <c r="Q31" s="1570"/>
      <c r="R31" s="1571"/>
      <c r="S31" s="1572"/>
      <c r="T31" s="1571"/>
      <c r="U31" s="1572"/>
      <c r="V31" s="1571"/>
      <c r="W31" s="1572"/>
      <c r="X31" s="1565"/>
      <c r="Y31" s="3407"/>
      <c r="Z31" s="1573"/>
      <c r="AA31" s="1574">
        <v>1</v>
      </c>
      <c r="AB31" s="1574">
        <v>1</v>
      </c>
      <c r="AC31" s="1574">
        <v>1</v>
      </c>
    </row>
    <row r="32" spans="1:29" ht="15">
      <c r="A32" s="531"/>
      <c r="B32" s="526" t="s">
        <v>549</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07"/>
      <c r="Q32" s="1570" t="str">
        <f t="shared" si="8"/>
        <v>土地级别</v>
      </c>
      <c r="R32" s="1571" t="s">
        <v>8</v>
      </c>
      <c r="S32" s="1572">
        <f t="shared" si="10"/>
        <v>100</v>
      </c>
      <c r="T32" s="1571" t="s">
        <v>8</v>
      </c>
      <c r="U32" s="1572">
        <f t="shared" si="11"/>
        <v>100</v>
      </c>
      <c r="V32" s="1571" t="s">
        <v>8</v>
      </c>
      <c r="W32" s="1572">
        <f t="shared" si="12"/>
        <v>100</v>
      </c>
      <c r="X32" s="1565"/>
      <c r="Y32" s="3407"/>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07"/>
      <c r="Q33" s="1570">
        <f t="shared" si="8"/>
        <v>111</v>
      </c>
      <c r="R33" s="1571" t="s">
        <v>8</v>
      </c>
      <c r="S33" s="1572">
        <f t="shared" si="10"/>
        <v>100</v>
      </c>
      <c r="T33" s="1571" t="s">
        <v>8</v>
      </c>
      <c r="U33" s="1572">
        <f t="shared" si="11"/>
        <v>100</v>
      </c>
      <c r="V33" s="1571" t="s">
        <v>8</v>
      </c>
      <c r="W33" s="1572">
        <f t="shared" si="12"/>
        <v>100</v>
      </c>
      <c r="X33" s="1565"/>
      <c r="Y33" s="3407"/>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08" t="s">
        <v>550</v>
      </c>
      <c r="Q34" s="1570">
        <f t="shared" si="8"/>
        <v>111</v>
      </c>
      <c r="R34" s="1571" t="s">
        <v>8</v>
      </c>
      <c r="S34" s="1572">
        <f t="shared" si="10"/>
        <v>100</v>
      </c>
      <c r="T34" s="1571" t="s">
        <v>8</v>
      </c>
      <c r="U34" s="1572">
        <f t="shared" si="11"/>
        <v>100</v>
      </c>
      <c r="V34" s="1571" t="s">
        <v>8</v>
      </c>
      <c r="W34" s="1572">
        <f t="shared" si="12"/>
        <v>100</v>
      </c>
      <c r="X34" s="1565"/>
      <c r="Y34" s="3409" t="s">
        <v>550</v>
      </c>
      <c r="Z34" s="1573">
        <f t="shared" si="13"/>
        <v>111</v>
      </c>
      <c r="AA34" s="1574">
        <f t="shared" si="3"/>
        <v>1</v>
      </c>
      <c r="AB34" s="1574">
        <f t="shared" si="4"/>
        <v>1</v>
      </c>
      <c r="AC34" s="1574">
        <f t="shared" si="5"/>
        <v>1</v>
      </c>
    </row>
    <row r="35" spans="1:29" s="1337" customFormat="1" ht="15.75"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09"/>
      <c r="Q35" s="1570">
        <f t="shared" si="8"/>
        <v>111</v>
      </c>
      <c r="R35" s="1575" t="s">
        <v>8</v>
      </c>
      <c r="S35" s="1576">
        <f t="shared" si="10"/>
        <v>100</v>
      </c>
      <c r="T35" s="1575" t="s">
        <v>8</v>
      </c>
      <c r="U35" s="1576">
        <f t="shared" si="11"/>
        <v>100</v>
      </c>
      <c r="V35" s="1575" t="s">
        <v>8</v>
      </c>
      <c r="W35" s="1576">
        <f t="shared" si="12"/>
        <v>100</v>
      </c>
      <c r="X35" s="1577"/>
      <c r="Y35" s="3409"/>
      <c r="Z35" s="1578">
        <f t="shared" si="13"/>
        <v>111</v>
      </c>
      <c r="AA35" s="1574">
        <f t="shared" si="3"/>
        <v>1</v>
      </c>
      <c r="AB35" s="1574">
        <f t="shared" si="4"/>
        <v>1</v>
      </c>
      <c r="AC35" s="1574">
        <f t="shared" si="5"/>
        <v>1</v>
      </c>
    </row>
    <row r="36" spans="1:29" ht="15">
      <c r="A36" s="2906"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09"/>
      <c r="Q36" s="1570" t="str">
        <f>B36</f>
        <v>宗地面积</v>
      </c>
      <c r="R36" s="1571" t="s">
        <v>8</v>
      </c>
      <c r="S36" s="1572" t="e">
        <f t="shared" si="10"/>
        <v>#N/A</v>
      </c>
      <c r="T36" s="1571" t="s">
        <v>8</v>
      </c>
      <c r="U36" s="1572" t="e">
        <f t="shared" si="11"/>
        <v>#N/A</v>
      </c>
      <c r="V36" s="1571" t="s">
        <v>8</v>
      </c>
      <c r="W36" s="1572" t="e">
        <f t="shared" si="12"/>
        <v>#N/A</v>
      </c>
      <c r="X36" s="1565"/>
      <c r="Y36" s="3409"/>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09"/>
      <c r="Q37" s="1570" t="str">
        <f t="shared" ref="Q37:Q42" si="14">B37</f>
        <v>宗地形状</v>
      </c>
      <c r="R37" s="1571" t="s">
        <v>8</v>
      </c>
      <c r="S37" s="1572">
        <f t="shared" si="10"/>
        <v>100</v>
      </c>
      <c r="T37" s="1571" t="s">
        <v>8</v>
      </c>
      <c r="U37" s="1572">
        <f t="shared" si="11"/>
        <v>100</v>
      </c>
      <c r="V37" s="1571" t="s">
        <v>8</v>
      </c>
      <c r="W37" s="1572">
        <f t="shared" si="12"/>
        <v>100</v>
      </c>
      <c r="X37" s="1565"/>
      <c r="Y37" s="3409"/>
      <c r="Z37" s="1573" t="str">
        <f t="shared" si="13"/>
        <v>宗地形状</v>
      </c>
      <c r="AA37" s="1574">
        <f t="shared" si="3"/>
        <v>1</v>
      </c>
      <c r="AB37" s="1574">
        <f t="shared" si="4"/>
        <v>1</v>
      </c>
      <c r="AC37" s="1574">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09"/>
      <c r="Q38" s="1570" t="str">
        <f t="shared" si="14"/>
        <v>宗地开发程度</v>
      </c>
      <c r="R38" s="1566" t="s">
        <v>8</v>
      </c>
      <c r="S38" s="1567">
        <f t="shared" si="10"/>
        <v>100</v>
      </c>
      <c r="T38" s="1566" t="s">
        <v>8</v>
      </c>
      <c r="U38" s="1567">
        <f t="shared" si="11"/>
        <v>100</v>
      </c>
      <c r="V38" s="1566" t="s">
        <v>8</v>
      </c>
      <c r="W38" s="1567">
        <f t="shared" si="12"/>
        <v>100</v>
      </c>
      <c r="X38" s="1568"/>
      <c r="Y38" s="3409"/>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9" t="s">
        <v>601</v>
      </c>
      <c r="Q39" s="1570" t="str">
        <f t="shared" si="14"/>
        <v>工程地质条件</v>
      </c>
      <c r="R39" s="1571" t="s">
        <v>8</v>
      </c>
      <c r="S39" s="1572">
        <f t="shared" si="10"/>
        <v>100</v>
      </c>
      <c r="T39" s="1571" t="s">
        <v>8</v>
      </c>
      <c r="U39" s="1572">
        <f t="shared" si="11"/>
        <v>100</v>
      </c>
      <c r="V39" s="1571" t="s">
        <v>8</v>
      </c>
      <c r="W39" s="1572">
        <f t="shared" si="12"/>
        <v>100</v>
      </c>
      <c r="X39" s="1565"/>
      <c r="Y39" s="3409"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09"/>
      <c r="Q40" s="1570">
        <f t="shared" si="14"/>
        <v>111</v>
      </c>
      <c r="R40" s="1571" t="s">
        <v>8</v>
      </c>
      <c r="S40" s="1572">
        <f t="shared" si="10"/>
        <v>100</v>
      </c>
      <c r="T40" s="1571" t="s">
        <v>8</v>
      </c>
      <c r="U40" s="1572">
        <f t="shared" si="11"/>
        <v>100</v>
      </c>
      <c r="V40" s="1571" t="s">
        <v>8</v>
      </c>
      <c r="W40" s="1572">
        <f t="shared" si="12"/>
        <v>100</v>
      </c>
      <c r="X40" s="1565"/>
      <c r="Y40" s="3409"/>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09"/>
      <c r="Q41" s="1570">
        <f t="shared" si="14"/>
        <v>111</v>
      </c>
      <c r="R41" s="1571" t="s">
        <v>8</v>
      </c>
      <c r="S41" s="1572">
        <f t="shared" si="10"/>
        <v>100</v>
      </c>
      <c r="T41" s="1571" t="s">
        <v>8</v>
      </c>
      <c r="U41" s="1572">
        <f t="shared" si="11"/>
        <v>100</v>
      </c>
      <c r="V41" s="1571" t="s">
        <v>8</v>
      </c>
      <c r="W41" s="1572">
        <f t="shared" si="12"/>
        <v>100</v>
      </c>
      <c r="X41" s="1565"/>
      <c r="Y41" s="3409"/>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09"/>
      <c r="Q42" s="1570">
        <f t="shared" si="14"/>
        <v>111</v>
      </c>
      <c r="R42" s="1575" t="s">
        <v>8</v>
      </c>
      <c r="S42" s="1576">
        <f t="shared" si="10"/>
        <v>100</v>
      </c>
      <c r="T42" s="1575" t="s">
        <v>8</v>
      </c>
      <c r="U42" s="1576">
        <f t="shared" si="11"/>
        <v>100</v>
      </c>
      <c r="V42" s="1575" t="s">
        <v>8</v>
      </c>
      <c r="W42" s="1576">
        <f t="shared" si="12"/>
        <v>100</v>
      </c>
      <c r="X42" s="1577"/>
      <c r="Y42" s="3409"/>
      <c r="Z42" s="1578">
        <f t="shared" si="13"/>
        <v>111</v>
      </c>
      <c r="AA42" s="1574">
        <f t="shared" si="3"/>
        <v>1</v>
      </c>
      <c r="AB42" s="1574">
        <f t="shared" si="4"/>
        <v>1</v>
      </c>
      <c r="AC42" s="1574">
        <f t="shared" si="5"/>
        <v>1</v>
      </c>
    </row>
    <row r="43" spans="1:29" ht="15">
      <c r="A43" s="606" t="s">
        <v>556</v>
      </c>
      <c r="B43" s="607" t="s">
        <v>2930</v>
      </c>
      <c r="C43" s="608" t="s">
        <v>1</v>
      </c>
      <c r="D43" s="609"/>
      <c r="E43" s="610"/>
      <c r="F43" s="611"/>
      <c r="G43" s="612"/>
      <c r="H43" s="613"/>
      <c r="I43" s="610"/>
      <c r="J43" s="613"/>
      <c r="K43" s="1338"/>
      <c r="L43" s="2143"/>
      <c r="M43" s="2133"/>
      <c r="N43" s="2133"/>
      <c r="O43" s="2144"/>
      <c r="P43" s="3404" t="str">
        <f>A43</f>
        <v>成交单价</v>
      </c>
      <c r="Q43" s="3404"/>
      <c r="R43" s="3418">
        <f>E43</f>
        <v>0</v>
      </c>
      <c r="S43" s="3418"/>
      <c r="T43" s="3418">
        <f>G43</f>
        <v>0</v>
      </c>
      <c r="U43" s="3418"/>
      <c r="V43" s="3418">
        <f>I43</f>
        <v>0</v>
      </c>
      <c r="W43" s="3418"/>
      <c r="X43" s="1557"/>
      <c r="Y43" s="1579"/>
      <c r="Z43" s="1557"/>
      <c r="AA43" s="1557"/>
      <c r="AB43" s="1557"/>
      <c r="AC43" s="1557"/>
    </row>
    <row r="44" spans="1:29" ht="15.75" thickBot="1">
      <c r="A44" s="614" t="s">
        <v>2694</v>
      </c>
      <c r="B44" s="615"/>
      <c r="C44" s="616" t="e">
        <f>R45</f>
        <v>#DIV/0!</v>
      </c>
      <c r="D44" s="617"/>
      <c r="E44" s="616" t="e">
        <f>R44</f>
        <v>#DIV/0!</v>
      </c>
      <c r="F44" s="618"/>
      <c r="G44" s="619" t="e">
        <f>T44</f>
        <v>#DIV/0!</v>
      </c>
      <c r="H44" s="617"/>
      <c r="I44" s="616" t="e">
        <f>V44</f>
        <v>#DIV/0!</v>
      </c>
      <c r="J44" s="617"/>
      <c r="K44" s="1339"/>
      <c r="L44" s="2143"/>
      <c r="M44" s="2133"/>
      <c r="N44" s="2133"/>
      <c r="O44" s="2144"/>
      <c r="P44" s="3404" t="str">
        <f>A44</f>
        <v>比较价格（元/平方米）</v>
      </c>
      <c r="Q44" s="3404"/>
      <c r="R44" s="3429" t="e">
        <f>ROUND(PRODUCT(R43,AA9:AA42),0)</f>
        <v>#DIV/0!</v>
      </c>
      <c r="S44" s="3429"/>
      <c r="T44" s="3429" t="e">
        <f>ROUND(PRODUCT(T43,AB9:AB42),0)</f>
        <v>#DIV/0!</v>
      </c>
      <c r="U44" s="3429"/>
      <c r="V44" s="3429" t="e">
        <f>ROUND(PRODUCT(V43,AC9:AC42),0)</f>
        <v>#DIV/0!</v>
      </c>
      <c r="W44" s="3429"/>
      <c r="X44" s="1557"/>
      <c r="Y44" s="1557"/>
      <c r="Z44" s="1557"/>
      <c r="AA44" s="1557"/>
      <c r="AB44" s="1557"/>
      <c r="AC44" s="1557"/>
    </row>
    <row r="45" spans="1:29" ht="15.75" thickBot="1">
      <c r="A45" s="620" t="s">
        <v>2931</v>
      </c>
      <c r="B45" s="621"/>
      <c r="C45" s="622" t="e">
        <f>R45</f>
        <v>#DIV/0!</v>
      </c>
      <c r="D45" s="622"/>
      <c r="E45" s="622"/>
      <c r="F45" s="622"/>
      <c r="G45" s="622"/>
      <c r="H45" s="622"/>
      <c r="I45" s="622"/>
      <c r="J45" s="622"/>
      <c r="K45" s="1340"/>
      <c r="L45" s="2143"/>
      <c r="M45" s="2133"/>
      <c r="N45" s="2133"/>
      <c r="O45" s="2144"/>
      <c r="P45" s="3426" t="str">
        <f>A45</f>
        <v>估价对象XX用房的比较价格（楼面单价，元/平方米）</v>
      </c>
      <c r="Q45" s="3427"/>
      <c r="R45" s="3428" t="e">
        <f>ROUND(AVERAGE(R44:V44),0)</f>
        <v>#DIV/0!</v>
      </c>
      <c r="S45" s="3428"/>
      <c r="T45" s="3428"/>
      <c r="U45" s="3428"/>
      <c r="V45" s="3428"/>
      <c r="W45" s="3428"/>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560</v>
      </c>
      <c r="B52" s="629" t="s">
        <v>561</v>
      </c>
      <c r="C52" s="1558" t="s">
        <v>1725</v>
      </c>
      <c r="D52" s="2226" t="s">
        <v>2295</v>
      </c>
      <c r="E52" s="630" t="s">
        <v>562</v>
      </c>
      <c r="F52" s="1950" t="s">
        <v>563</v>
      </c>
      <c r="G52" s="3430" t="s">
        <v>2286</v>
      </c>
      <c r="H52" s="3431"/>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564</v>
      </c>
      <c r="B53" s="633" t="e">
        <f>C45</f>
        <v>#DIV/0!</v>
      </c>
      <c r="C53" s="634">
        <v>1</v>
      </c>
      <c r="D53" s="2227">
        <v>1</v>
      </c>
      <c r="E53" s="634">
        <f>'数据-汇总表'!E8+'数据-汇总表'!E9</f>
        <v>191350</v>
      </c>
      <c r="F53" s="1949" t="e">
        <f t="shared" ref="F53:F62" si="15">ROUND(B53*E53/10000,0)</f>
        <v>#DIV/0!</v>
      </c>
      <c r="G53" s="3432"/>
      <c r="H53" s="3433"/>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565</v>
      </c>
      <c r="B54" s="637" t="e">
        <f>ROUND($C$45*C54*D54,0)</f>
        <v>#DIV/0!</v>
      </c>
      <c r="C54" s="377">
        <f t="shared" ref="C54:C62" si="16">IF($C$52="北京市系数",I54,J54)</f>
        <v>0.6</v>
      </c>
      <c r="D54" s="2228">
        <v>0.25</v>
      </c>
      <c r="E54" s="638"/>
      <c r="F54" s="1949" t="e">
        <f t="shared" si="15"/>
        <v>#DIV/0!</v>
      </c>
      <c r="G54" s="3434" t="s">
        <v>2287</v>
      </c>
      <c r="H54" s="1953" t="str">
        <f>项目基本情况!B43</f>
        <v>九级</v>
      </c>
      <c r="I54" s="1952">
        <f>SUMIF(修正!$A$45:$A$56,H54,修正!B45:B56)</f>
        <v>0.6</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566</v>
      </c>
      <c r="B55" s="637" t="e">
        <f t="shared" ref="B55:B62" si="17">ROUND($C$45*C55*D55,0)</f>
        <v>#DIV/0!</v>
      </c>
      <c r="C55" s="377">
        <f t="shared" si="16"/>
        <v>0.3</v>
      </c>
      <c r="D55" s="2228">
        <v>0.25</v>
      </c>
      <c r="E55" s="638"/>
      <c r="F55" s="1949" t="e">
        <f t="shared" si="15"/>
        <v>#DIV/0!</v>
      </c>
      <c r="G55" s="3434"/>
      <c r="H55" s="1954" t="str">
        <f>项目基本情况!B43</f>
        <v>九级</v>
      </c>
      <c r="I55" s="1952">
        <f>SUMIF(修正!$A$45:$A$56,H55,修正!C45:C56)</f>
        <v>0.3</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567</v>
      </c>
      <c r="B56" s="637" t="e">
        <f t="shared" si="17"/>
        <v>#DIV/0!</v>
      </c>
      <c r="C56" s="377">
        <f t="shared" si="16"/>
        <v>0.2</v>
      </c>
      <c r="D56" s="2228">
        <v>0.25</v>
      </c>
      <c r="E56" s="638"/>
      <c r="F56" s="1949" t="e">
        <f t="shared" si="15"/>
        <v>#DIV/0!</v>
      </c>
      <c r="G56" s="3434"/>
      <c r="H56" s="1954" t="str">
        <f>项目基本情况!B43</f>
        <v>九级</v>
      </c>
      <c r="I56" s="1952">
        <f>SUMIF(修正!$A$45:$A$56,H56,修正!D45:D56)</f>
        <v>0.2</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568</v>
      </c>
      <c r="B57" s="637" t="e">
        <f t="shared" si="17"/>
        <v>#DIV/0!</v>
      </c>
      <c r="C57" s="377">
        <f t="shared" si="16"/>
        <v>0.2</v>
      </c>
      <c r="D57" s="2228">
        <v>0.25</v>
      </c>
      <c r="E57" s="638"/>
      <c r="F57" s="1949" t="e">
        <f t="shared" si="15"/>
        <v>#DIV/0!</v>
      </c>
      <c r="G57" s="3434"/>
      <c r="H57" s="1954" t="str">
        <f>项目基本情况!B43</f>
        <v>九级</v>
      </c>
      <c r="I57" s="1952">
        <f>SUMIF(修正!$A$45:$A$56,H57,修正!E45:E56)</f>
        <v>0.2</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2329</v>
      </c>
      <c r="B58" s="637" t="e">
        <f t="shared" si="17"/>
        <v>#DIV/0!</v>
      </c>
      <c r="C58" s="377">
        <f t="shared" si="16"/>
        <v>0</v>
      </c>
      <c r="D58" s="2228">
        <v>0.25</v>
      </c>
      <c r="E58" s="640">
        <f>'数据-汇总表'!E11</f>
        <v>0</v>
      </c>
      <c r="F58" s="1949" t="e">
        <f t="shared" si="15"/>
        <v>#DIV/0!</v>
      </c>
      <c r="G58" s="1955" t="s">
        <v>2288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569</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570</v>
      </c>
      <c r="B60" s="637" t="e">
        <f t="shared" si="17"/>
        <v>#DIV/0!</v>
      </c>
      <c r="C60" s="377">
        <f t="shared" si="16"/>
        <v>0.15</v>
      </c>
      <c r="D60" s="2228">
        <v>0.25</v>
      </c>
      <c r="E60" s="640">
        <f>'数据-汇总表'!E13</f>
        <v>20000</v>
      </c>
      <c r="F60" s="1949" t="e">
        <f t="shared" si="15"/>
        <v>#DIV/0!</v>
      </c>
      <c r="G60" s="1945" t="s">
        <v>923</v>
      </c>
      <c r="H60" s="1953" t="str">
        <f>IF(G60="商业",项目基本情况!B43,IF(G60="办公",项目基本情况!C43,IF(G60="住宅",项目基本情况!D43,项目基本情况!E43)))</f>
        <v>九级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571</v>
      </c>
      <c r="B61" s="637" t="e">
        <f t="shared" si="17"/>
        <v>#DIV/0!</v>
      </c>
      <c r="C61" s="377">
        <f t="shared" si="16"/>
        <v>0.15</v>
      </c>
      <c r="D61" s="2228">
        <v>0.25</v>
      </c>
      <c r="E61" s="640">
        <f>'数据-汇总表'!E14</f>
        <v>0</v>
      </c>
      <c r="F61" s="1949" t="e">
        <f t="shared" si="15"/>
        <v>#DIV/0!</v>
      </c>
      <c r="G61" s="1955" t="s">
        <v>2287</v>
      </c>
      <c r="H61" s="1954" t="str">
        <f>项目基本情况!B43</f>
        <v>九级</v>
      </c>
      <c r="I61" s="1952">
        <f>SUMIF(修正!$A$45:$A$56,H61,修正!H45:H56)</f>
        <v>0.15</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572</v>
      </c>
      <c r="B62" s="637" t="e">
        <f t="shared" si="17"/>
        <v>#DIV/0!</v>
      </c>
      <c r="C62" s="377">
        <f t="shared" si="16"/>
        <v>0</v>
      </c>
      <c r="D62" s="2228">
        <v>0.25</v>
      </c>
      <c r="E62" s="640">
        <f>'数据-汇总表'!E15</f>
        <v>0</v>
      </c>
      <c r="F62" s="1949" t="e">
        <f t="shared" si="15"/>
        <v>#DIV/0!</v>
      </c>
      <c r="G62" s="1956" t="s">
        <v>2288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573</v>
      </c>
      <c r="B63" s="642" t="s">
        <v>17</v>
      </c>
      <c r="C63" s="642" t="s">
        <v>18</v>
      </c>
      <c r="D63" s="642" t="s">
        <v>2296</v>
      </c>
      <c r="E63" s="642">
        <f>IF(B43="楼面地价",SUM(E53:E62),'数据-汇总表'!D3)</f>
        <v>86802.49</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2018-8-1</v>
      </c>
      <c r="D65" s="2798">
        <f>EDATE(C65,-3)</f>
        <v>43221</v>
      </c>
      <c r="E65" s="2798">
        <f t="shared" ref="E65:N65" si="18">EDATE(D65,-3)</f>
        <v>43132</v>
      </c>
      <c r="F65" s="2798">
        <f t="shared" si="18"/>
        <v>43040</v>
      </c>
      <c r="G65" s="2798">
        <f t="shared" si="18"/>
        <v>42948</v>
      </c>
      <c r="H65" s="2798">
        <f t="shared" si="18"/>
        <v>42856</v>
      </c>
      <c r="I65" s="2798">
        <f t="shared" si="18"/>
        <v>42767</v>
      </c>
      <c r="J65" s="2798">
        <f t="shared" si="18"/>
        <v>42675</v>
      </c>
      <c r="K65" s="2798">
        <f t="shared" si="18"/>
        <v>42583</v>
      </c>
      <c r="L65" s="2798">
        <f t="shared" si="18"/>
        <v>42491</v>
      </c>
      <c r="M65" s="2798">
        <f t="shared" si="18"/>
        <v>42401</v>
      </c>
      <c r="N65" s="2798">
        <f t="shared" si="18"/>
        <v>42309</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67" t="s">
        <v>2534</v>
      </c>
      <c r="B67" s="645"/>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2650</v>
      </c>
      <c r="B68" s="478" t="str">
        <f>"北京市平均增长率"&amp;TEXT(基准地价!P24,"0.00%")</f>
        <v>北京市平均增长率1.41%</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2" t="s">
        <v>575</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596" t="s">
        <v>2551</v>
      </c>
      <c r="C95" s="2597" t="s">
        <v>2552</v>
      </c>
      <c r="D95" s="2597" t="s">
        <v>2553</v>
      </c>
      <c r="E95" s="2597" t="s">
        <v>2554</v>
      </c>
      <c r="F95" s="2597" t="s">
        <v>2555</v>
      </c>
      <c r="G95" s="2597"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376" t="s">
        <v>1008</v>
      </c>
      <c r="B18" s="1152" t="s">
        <v>1447</v>
      </c>
      <c r="C18" s="1129" t="s">
        <v>1448</v>
      </c>
      <c r="D18" s="1130"/>
      <c r="E18" s="1152">
        <v>1</v>
      </c>
      <c r="F18" s="1131" t="s">
        <v>1449</v>
      </c>
      <c r="G18" s="1132"/>
      <c r="H18" s="1103"/>
      <c r="I18" s="1103"/>
    </row>
    <row r="19" spans="1:9" s="1597" customFormat="1" ht="19.5" customHeight="1">
      <c r="A19" s="3376"/>
      <c r="B19" s="3376" t="s">
        <v>1450</v>
      </c>
      <c r="C19" s="1129" t="s">
        <v>1451</v>
      </c>
      <c r="D19" s="1130"/>
      <c r="E19" s="1152">
        <v>0.9</v>
      </c>
      <c r="F19" s="1131" t="s">
        <v>1452</v>
      </c>
      <c r="G19" s="1132"/>
      <c r="H19" s="1103"/>
      <c r="I19" s="1103"/>
    </row>
    <row r="20" spans="1:9" s="1597" customFormat="1" ht="19.5" customHeight="1">
      <c r="A20" s="3376"/>
      <c r="B20" s="3376"/>
      <c r="C20" s="1129" t="s">
        <v>1453</v>
      </c>
      <c r="D20" s="1130"/>
      <c r="E20" s="1152">
        <v>1.1000000000000001</v>
      </c>
      <c r="F20" s="1131" t="s">
        <v>1454</v>
      </c>
      <c r="G20" s="1132"/>
      <c r="H20" s="1103"/>
      <c r="I20" s="1103"/>
    </row>
    <row r="21" spans="1:9" s="1597" customFormat="1" ht="19.5" customHeight="1">
      <c r="A21" s="3376"/>
      <c r="B21" s="3376"/>
      <c r="C21" s="1129" t="s">
        <v>1455</v>
      </c>
      <c r="D21" s="1130"/>
      <c r="E21" s="1152">
        <v>0.8</v>
      </c>
      <c r="F21" s="1131" t="s">
        <v>1456</v>
      </c>
      <c r="G21" s="1132"/>
      <c r="H21" s="1103"/>
      <c r="I21" s="1103"/>
    </row>
    <row r="22" spans="1:9" s="1597" customFormat="1" ht="19.5" customHeight="1">
      <c r="A22" s="3376"/>
      <c r="B22" s="3376"/>
      <c r="C22" s="1129" t="s">
        <v>1457</v>
      </c>
      <c r="D22" s="1130"/>
      <c r="E22" s="1152">
        <v>0.5</v>
      </c>
      <c r="F22" s="1131"/>
      <c r="G22" s="1132"/>
      <c r="H22" s="1103"/>
      <c r="I22" s="1103"/>
    </row>
    <row r="23" spans="1:9" s="1597" customFormat="1" ht="19.5" customHeight="1">
      <c r="A23" s="3376" t="s">
        <v>1030</v>
      </c>
      <c r="B23" s="1152" t="s">
        <v>1447</v>
      </c>
      <c r="C23" s="1129" t="s">
        <v>1458</v>
      </c>
      <c r="D23" s="1130"/>
      <c r="E23" s="1152">
        <v>1</v>
      </c>
      <c r="F23" s="1131" t="s">
        <v>1459</v>
      </c>
      <c r="G23" s="1132"/>
      <c r="H23" s="1103"/>
      <c r="I23" s="1103"/>
    </row>
    <row r="24" spans="1:9" s="1597" customFormat="1" ht="19.5" customHeight="1">
      <c r="A24" s="3376"/>
      <c r="B24" s="3376" t="s">
        <v>1450</v>
      </c>
      <c r="C24" s="1129" t="s">
        <v>1460</v>
      </c>
      <c r="D24" s="1130"/>
      <c r="E24" s="1152">
        <v>0.5</v>
      </c>
      <c r="F24" s="1131"/>
      <c r="G24" s="1132"/>
      <c r="H24" s="1103"/>
      <c r="I24" s="1103"/>
    </row>
    <row r="25" spans="1:9" s="1597" customFormat="1" ht="19.5" customHeight="1">
      <c r="A25" s="3376"/>
      <c r="B25" s="3376"/>
      <c r="C25" s="1129" t="s">
        <v>1461</v>
      </c>
      <c r="D25" s="1130"/>
      <c r="E25" s="1152">
        <v>1.1000000000000001</v>
      </c>
      <c r="F25" s="1131"/>
      <c r="G25" s="1132"/>
      <c r="H25" s="1103"/>
      <c r="I25" s="1103"/>
    </row>
    <row r="26" spans="1:9" s="1597" customFormat="1" ht="19.5" customHeight="1">
      <c r="A26" s="3376"/>
      <c r="B26" s="3376"/>
      <c r="C26" s="1129" t="s">
        <v>1462</v>
      </c>
      <c r="D26" s="1130"/>
      <c r="E26" s="1152">
        <v>1.1000000000000001</v>
      </c>
      <c r="F26" s="1131"/>
      <c r="G26" s="1132"/>
      <c r="H26" s="1103"/>
      <c r="I26" s="1103"/>
    </row>
    <row r="27" spans="1:9" s="1597" customFormat="1" ht="19.5" customHeight="1">
      <c r="A27" s="3376"/>
      <c r="B27" s="3376"/>
      <c r="C27" s="1129" t="s">
        <v>1463</v>
      </c>
      <c r="D27" s="1130"/>
      <c r="E27" s="1152">
        <v>0.9</v>
      </c>
      <c r="F27" s="1131" t="s">
        <v>1464</v>
      </c>
      <c r="G27" s="1132"/>
      <c r="H27" s="1103"/>
      <c r="I27" s="1103"/>
    </row>
    <row r="28" spans="1:9" s="1597" customFormat="1" ht="19.5" customHeight="1">
      <c r="A28" s="3376"/>
      <c r="B28" s="3376"/>
      <c r="C28" s="1129" t="s">
        <v>1465</v>
      </c>
      <c r="D28" s="1130"/>
      <c r="E28" s="1152">
        <v>0.9</v>
      </c>
      <c r="F28" s="1131" t="s">
        <v>1466</v>
      </c>
      <c r="G28" s="1132"/>
      <c r="H28" s="1103"/>
      <c r="I28" s="1103"/>
    </row>
    <row r="29" spans="1:9" s="1597" customFormat="1" ht="19.5" customHeight="1">
      <c r="A29" s="3376"/>
      <c r="B29" s="3376"/>
      <c r="C29" s="1129" t="s">
        <v>1467</v>
      </c>
      <c r="D29" s="1130"/>
      <c r="E29" s="1152">
        <v>0.9</v>
      </c>
      <c r="F29" s="1131" t="s">
        <v>1468</v>
      </c>
      <c r="G29" s="1132"/>
      <c r="H29" s="1103"/>
      <c r="I29" s="1103"/>
    </row>
    <row r="30" spans="1:9" s="1597" customFormat="1" ht="19.5" customHeight="1">
      <c r="A30" s="3376"/>
      <c r="B30" s="3376"/>
      <c r="C30" s="1129" t="s">
        <v>1469</v>
      </c>
      <c r="D30" s="1130"/>
      <c r="E30" s="1152">
        <v>0.9</v>
      </c>
      <c r="F30" s="1131" t="s">
        <v>1470</v>
      </c>
      <c r="G30" s="1132"/>
      <c r="H30" s="1103"/>
      <c r="I30" s="1103"/>
    </row>
    <row r="31" spans="1:9" s="1597" customFormat="1" ht="19.5" customHeight="1">
      <c r="A31" s="3376"/>
      <c r="B31" s="3376"/>
      <c r="C31" s="1129" t="s">
        <v>1471</v>
      </c>
      <c r="D31" s="1130"/>
      <c r="E31" s="1152">
        <v>0.8</v>
      </c>
      <c r="F31" s="1131" t="s">
        <v>1472</v>
      </c>
      <c r="G31" s="1132"/>
      <c r="H31" s="1103"/>
      <c r="I31" s="1103"/>
    </row>
    <row r="32" spans="1:9" s="1597" customFormat="1" ht="19.5" customHeight="1">
      <c r="A32" s="3376"/>
      <c r="B32" s="3376"/>
      <c r="C32" s="1129" t="s">
        <v>1473</v>
      </c>
      <c r="D32" s="1130"/>
      <c r="E32" s="1152">
        <v>0.8</v>
      </c>
      <c r="F32" s="1131" t="s">
        <v>1474</v>
      </c>
      <c r="G32" s="1132"/>
      <c r="H32" s="1103"/>
      <c r="I32" s="1103"/>
    </row>
    <row r="33" spans="1:9" s="1597" customFormat="1" ht="19.5" customHeight="1">
      <c r="A33" s="3376" t="s">
        <v>1475</v>
      </c>
      <c r="B33" s="1152" t="s">
        <v>1447</v>
      </c>
      <c r="C33" s="1129" t="s">
        <v>1476</v>
      </c>
      <c r="D33" s="1130"/>
      <c r="E33" s="1152">
        <v>1</v>
      </c>
      <c r="F33" s="1131" t="s">
        <v>1477</v>
      </c>
      <c r="G33" s="1132"/>
      <c r="H33" s="1103"/>
      <c r="I33" s="1103"/>
    </row>
    <row r="34" spans="1:9" s="1597" customFormat="1" ht="19.5" customHeight="1">
      <c r="A34" s="3376"/>
      <c r="B34" s="1152" t="s">
        <v>1450</v>
      </c>
      <c r="C34" s="1129" t="s">
        <v>1478</v>
      </c>
      <c r="D34" s="1130"/>
      <c r="E34" s="1152">
        <v>1.5</v>
      </c>
      <c r="F34" s="1131" t="s">
        <v>1479</v>
      </c>
      <c r="G34" s="1132"/>
      <c r="H34" s="1103"/>
      <c r="I34" s="1103"/>
    </row>
    <row r="35" spans="1:9" s="1597" customFormat="1" ht="19.5" customHeight="1">
      <c r="A35" s="3376" t="s">
        <v>1433</v>
      </c>
      <c r="B35" s="1152" t="s">
        <v>1447</v>
      </c>
      <c r="C35" s="1129" t="s">
        <v>1480</v>
      </c>
      <c r="D35" s="1130"/>
      <c r="E35" s="1152">
        <v>1</v>
      </c>
      <c r="F35" s="1131" t="s">
        <v>1481</v>
      </c>
      <c r="G35" s="1132"/>
      <c r="H35" s="1103"/>
      <c r="I35" s="1103"/>
    </row>
    <row r="36" spans="1:9" s="1597" customFormat="1" ht="19.5" customHeight="1">
      <c r="A36" s="3376"/>
      <c r="B36" s="3376" t="s">
        <v>1450</v>
      </c>
      <c r="C36" s="1129" t="s">
        <v>1482</v>
      </c>
      <c r="D36" s="1130"/>
      <c r="E36" s="1152">
        <v>1</v>
      </c>
      <c r="F36" s="1131" t="s">
        <v>1483</v>
      </c>
      <c r="G36" s="1132"/>
      <c r="H36" s="1103"/>
      <c r="I36" s="1103"/>
    </row>
    <row r="37" spans="1:9" s="1597" customFormat="1" ht="19.5" customHeight="1">
      <c r="A37" s="3376"/>
      <c r="B37" s="3376"/>
      <c r="C37" s="1129" t="s">
        <v>1484</v>
      </c>
      <c r="D37" s="1130"/>
      <c r="E37" s="1152">
        <v>1.5</v>
      </c>
      <c r="F37" s="1131" t="s">
        <v>1485</v>
      </c>
      <c r="G37" s="1132"/>
      <c r="H37" s="1103"/>
      <c r="I37" s="1103"/>
    </row>
    <row r="38" spans="1:9" s="1597" customFormat="1" ht="19.5" customHeight="1">
      <c r="A38" s="3376"/>
      <c r="B38" s="3376"/>
      <c r="C38" s="1129" t="s">
        <v>1486</v>
      </c>
      <c r="D38" s="1130"/>
      <c r="E38" s="1152">
        <v>1</v>
      </c>
      <c r="F38" s="1131" t="s">
        <v>1487</v>
      </c>
      <c r="G38" s="1132"/>
      <c r="H38" s="1103"/>
      <c r="I38" s="1103"/>
    </row>
    <row r="39" spans="1:9" s="1597" customFormat="1" ht="19.5" customHeight="1">
      <c r="A39" s="3376"/>
      <c r="B39" s="3376"/>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376" t="s">
        <v>1502</v>
      </c>
      <c r="C61" s="1066" t="s">
        <v>1503</v>
      </c>
      <c r="D61" s="1066" t="s">
        <v>1504</v>
      </c>
      <c r="E61" s="1137">
        <v>0.5</v>
      </c>
      <c r="F61" s="1152">
        <v>80</v>
      </c>
      <c r="H61" s="1103">
        <f>SUMIF(C59:C119,基准地价!C8,E59:E119)</f>
        <v>0</v>
      </c>
    </row>
    <row r="62" spans="1:8" s="1103" customFormat="1" ht="24">
      <c r="A62" s="1152">
        <v>2</v>
      </c>
      <c r="B62" s="3376"/>
      <c r="C62" s="1066" t="s">
        <v>1505</v>
      </c>
      <c r="D62" s="1066" t="s">
        <v>1506</v>
      </c>
      <c r="E62" s="1137">
        <v>0.5</v>
      </c>
      <c r="F62" s="1152">
        <v>80</v>
      </c>
    </row>
    <row r="63" spans="1:8" s="1103" customFormat="1" ht="36">
      <c r="A63" s="1152">
        <v>3</v>
      </c>
      <c r="B63" s="3376"/>
      <c r="C63" s="1066" t="s">
        <v>1507</v>
      </c>
      <c r="D63" s="1066" t="s">
        <v>1508</v>
      </c>
      <c r="E63" s="1137">
        <v>0.5</v>
      </c>
      <c r="F63" s="1152">
        <v>80</v>
      </c>
    </row>
    <row r="64" spans="1:8" s="1103" customFormat="1" ht="36">
      <c r="A64" s="1152">
        <v>4</v>
      </c>
      <c r="B64" s="3376"/>
      <c r="C64" s="1066" t="s">
        <v>1509</v>
      </c>
      <c r="D64" s="1066" t="s">
        <v>1510</v>
      </c>
      <c r="E64" s="1137">
        <v>0.4</v>
      </c>
      <c r="F64" s="1152">
        <v>60</v>
      </c>
    </row>
    <row r="65" spans="1:6" s="1103" customFormat="1" ht="36">
      <c r="A65" s="1152">
        <v>5</v>
      </c>
      <c r="B65" s="3376"/>
      <c r="C65" s="1066" t="s">
        <v>1511</v>
      </c>
      <c r="D65" s="1066" t="s">
        <v>1512</v>
      </c>
      <c r="E65" s="1137">
        <v>0.2</v>
      </c>
      <c r="F65" s="1152">
        <v>30</v>
      </c>
    </row>
    <row r="66" spans="1:6" s="1103" customFormat="1" ht="36">
      <c r="A66" s="1152">
        <v>6</v>
      </c>
      <c r="B66" s="3376"/>
      <c r="C66" s="1066" t="s">
        <v>1513</v>
      </c>
      <c r="D66" s="1066" t="s">
        <v>1514</v>
      </c>
      <c r="E66" s="1137">
        <v>0.3</v>
      </c>
      <c r="F66" s="1152">
        <v>50</v>
      </c>
    </row>
    <row r="67" spans="1:6" s="1103" customFormat="1" ht="36">
      <c r="A67" s="1152">
        <v>7</v>
      </c>
      <c r="B67" s="3376"/>
      <c r="C67" s="1066" t="s">
        <v>1515</v>
      </c>
      <c r="D67" s="1066" t="s">
        <v>1516</v>
      </c>
      <c r="E67" s="1137">
        <v>0.2</v>
      </c>
      <c r="F67" s="1152">
        <v>30</v>
      </c>
    </row>
    <row r="68" spans="1:6" s="1103" customFormat="1" ht="36">
      <c r="A68" s="1152">
        <v>8</v>
      </c>
      <c r="B68" s="3376"/>
      <c r="C68" s="1066" t="s">
        <v>1517</v>
      </c>
      <c r="D68" s="1066" t="s">
        <v>1518</v>
      </c>
      <c r="E68" s="1137">
        <v>0.2</v>
      </c>
      <c r="F68" s="1152">
        <v>30</v>
      </c>
    </row>
    <row r="69" spans="1:6" s="1103" customFormat="1" ht="36">
      <c r="A69" s="1152">
        <v>9</v>
      </c>
      <c r="B69" s="3376"/>
      <c r="C69" s="1066" t="s">
        <v>1519</v>
      </c>
      <c r="D69" s="1066" t="s">
        <v>1520</v>
      </c>
      <c r="E69" s="1137">
        <v>0.2</v>
      </c>
      <c r="F69" s="1152">
        <v>30</v>
      </c>
    </row>
    <row r="70" spans="1:6" s="1103" customFormat="1" ht="48">
      <c r="A70" s="1152">
        <v>10</v>
      </c>
      <c r="B70" s="3376"/>
      <c r="C70" s="1066" t="s">
        <v>1521</v>
      </c>
      <c r="D70" s="1066" t="s">
        <v>1522</v>
      </c>
      <c r="E70" s="1137">
        <v>0.2</v>
      </c>
      <c r="F70" s="1152">
        <v>30</v>
      </c>
    </row>
    <row r="71" spans="1:6" s="1103" customFormat="1" ht="48">
      <c r="A71" s="1152">
        <v>11</v>
      </c>
      <c r="B71" s="3376"/>
      <c r="C71" s="1066" t="s">
        <v>1523</v>
      </c>
      <c r="D71" s="1066" t="s">
        <v>1524</v>
      </c>
      <c r="E71" s="1137">
        <v>0.2</v>
      </c>
      <c r="F71" s="1152">
        <v>30</v>
      </c>
    </row>
    <row r="72" spans="1:6" s="1103" customFormat="1" ht="36">
      <c r="A72" s="1152">
        <v>12</v>
      </c>
      <c r="B72" s="3376"/>
      <c r="C72" s="1066" t="s">
        <v>1525</v>
      </c>
      <c r="D72" s="1066" t="s">
        <v>1526</v>
      </c>
      <c r="E72" s="1137">
        <v>0.5</v>
      </c>
      <c r="F72" s="1152">
        <v>80</v>
      </c>
    </row>
    <row r="73" spans="1:6" s="1103" customFormat="1" ht="24">
      <c r="A73" s="1152">
        <v>13</v>
      </c>
      <c r="B73" s="3376"/>
      <c r="C73" s="1066" t="s">
        <v>1527</v>
      </c>
      <c r="D73" s="1066" t="s">
        <v>1528</v>
      </c>
      <c r="E73" s="1137">
        <v>0.4</v>
      </c>
      <c r="F73" s="1152">
        <v>60</v>
      </c>
    </row>
    <row r="74" spans="1:6" s="1103" customFormat="1" ht="24">
      <c r="A74" s="1152">
        <v>14</v>
      </c>
      <c r="B74" s="3376"/>
      <c r="C74" s="1066" t="s">
        <v>1529</v>
      </c>
      <c r="D74" s="1066" t="s">
        <v>1530</v>
      </c>
      <c r="E74" s="1137">
        <v>0.2</v>
      </c>
      <c r="F74" s="1152">
        <v>30</v>
      </c>
    </row>
    <row r="75" spans="1:6" s="1103" customFormat="1" ht="24">
      <c r="A75" s="1152">
        <v>15</v>
      </c>
      <c r="B75" s="3376"/>
      <c r="C75" s="1066" t="s">
        <v>1531</v>
      </c>
      <c r="D75" s="1066" t="s">
        <v>1532</v>
      </c>
      <c r="E75" s="1137">
        <v>0.2</v>
      </c>
      <c r="F75" s="1152">
        <v>30</v>
      </c>
    </row>
    <row r="76" spans="1:6" s="1103" customFormat="1" ht="24">
      <c r="A76" s="1152">
        <v>16</v>
      </c>
      <c r="B76" s="3376" t="s">
        <v>1533</v>
      </c>
      <c r="C76" s="1066" t="s">
        <v>1534</v>
      </c>
      <c r="D76" s="1066" t="s">
        <v>1535</v>
      </c>
      <c r="E76" s="1137">
        <v>0.5</v>
      </c>
      <c r="F76" s="1152">
        <v>80</v>
      </c>
    </row>
    <row r="77" spans="1:6" s="1103" customFormat="1" ht="24">
      <c r="A77" s="1152">
        <v>17</v>
      </c>
      <c r="B77" s="3376"/>
      <c r="C77" s="1066" t="s">
        <v>1536</v>
      </c>
      <c r="D77" s="1066" t="s">
        <v>1537</v>
      </c>
      <c r="E77" s="1137">
        <v>0.5</v>
      </c>
      <c r="F77" s="1152">
        <v>80</v>
      </c>
    </row>
    <row r="78" spans="1:6" s="1103" customFormat="1" ht="24">
      <c r="A78" s="1152">
        <v>18</v>
      </c>
      <c r="B78" s="3376"/>
      <c r="C78" s="1066" t="s">
        <v>1538</v>
      </c>
      <c r="D78" s="1066" t="s">
        <v>1539</v>
      </c>
      <c r="E78" s="1137">
        <v>0.2</v>
      </c>
      <c r="F78" s="1152">
        <v>30</v>
      </c>
    </row>
    <row r="79" spans="1:6" s="1103" customFormat="1" ht="24">
      <c r="A79" s="1152">
        <v>19</v>
      </c>
      <c r="B79" s="3376"/>
      <c r="C79" s="1066" t="s">
        <v>1540</v>
      </c>
      <c r="D79" s="1066" t="s">
        <v>1541</v>
      </c>
      <c r="E79" s="1137">
        <v>0.5</v>
      </c>
      <c r="F79" s="1152">
        <v>80</v>
      </c>
    </row>
    <row r="80" spans="1:6" s="1103" customFormat="1" ht="36">
      <c r="A80" s="1152">
        <v>20</v>
      </c>
      <c r="B80" s="3376"/>
      <c r="C80" s="1066" t="s">
        <v>1542</v>
      </c>
      <c r="D80" s="1066" t="s">
        <v>1543</v>
      </c>
      <c r="E80" s="1137">
        <v>0.2</v>
      </c>
      <c r="F80" s="1152">
        <v>30</v>
      </c>
    </row>
    <row r="81" spans="1:6" s="1103" customFormat="1" ht="36">
      <c r="A81" s="1152">
        <v>21</v>
      </c>
      <c r="B81" s="3376"/>
      <c r="C81" s="1066" t="s">
        <v>1544</v>
      </c>
      <c r="D81" s="1066" t="s">
        <v>1545</v>
      </c>
      <c r="E81" s="1137">
        <v>0.2</v>
      </c>
      <c r="F81" s="1152">
        <v>30</v>
      </c>
    </row>
    <row r="82" spans="1:6" s="1103" customFormat="1" ht="48">
      <c r="A82" s="1152">
        <v>22</v>
      </c>
      <c r="B82" s="3376"/>
      <c r="C82" s="1066" t="s">
        <v>1546</v>
      </c>
      <c r="D82" s="1066" t="s">
        <v>1547</v>
      </c>
      <c r="E82" s="1137">
        <v>0.2</v>
      </c>
      <c r="F82" s="1152">
        <v>30</v>
      </c>
    </row>
    <row r="83" spans="1:6" s="1103" customFormat="1" ht="48">
      <c r="A83" s="1152">
        <v>23</v>
      </c>
      <c r="B83" s="3376"/>
      <c r="C83" s="1066" t="s">
        <v>1548</v>
      </c>
      <c r="D83" s="1066" t="s">
        <v>1549</v>
      </c>
      <c r="E83" s="1137">
        <v>0.2</v>
      </c>
      <c r="F83" s="1152">
        <v>30</v>
      </c>
    </row>
    <row r="84" spans="1:6" s="1103" customFormat="1" ht="36">
      <c r="A84" s="1152">
        <v>24</v>
      </c>
      <c r="B84" s="3376"/>
      <c r="C84" s="1066" t="s">
        <v>1550</v>
      </c>
      <c r="D84" s="1066" t="s">
        <v>1551</v>
      </c>
      <c r="E84" s="1137">
        <v>0.2</v>
      </c>
      <c r="F84" s="1152">
        <v>30</v>
      </c>
    </row>
    <row r="85" spans="1:6" s="1103" customFormat="1" ht="36">
      <c r="A85" s="1152">
        <v>25</v>
      </c>
      <c r="B85" s="3376"/>
      <c r="C85" s="1066" t="s">
        <v>1552</v>
      </c>
      <c r="D85" s="1066" t="s">
        <v>1553</v>
      </c>
      <c r="E85" s="1137">
        <v>0.5</v>
      </c>
      <c r="F85" s="1152">
        <v>80</v>
      </c>
    </row>
    <row r="86" spans="1:6" s="1103" customFormat="1" ht="36">
      <c r="A86" s="1152">
        <v>26</v>
      </c>
      <c r="B86" s="3376"/>
      <c r="C86" s="1066" t="s">
        <v>1554</v>
      </c>
      <c r="D86" s="1066" t="s">
        <v>1555</v>
      </c>
      <c r="E86" s="1137">
        <v>0.2</v>
      </c>
      <c r="F86" s="1152">
        <v>30</v>
      </c>
    </row>
    <row r="87" spans="1:6" s="1103" customFormat="1" ht="36">
      <c r="A87" s="1152">
        <v>27</v>
      </c>
      <c r="B87" s="3376"/>
      <c r="C87" s="1066" t="s">
        <v>1556</v>
      </c>
      <c r="D87" s="1066" t="s">
        <v>1557</v>
      </c>
      <c r="E87" s="1137">
        <v>0.2</v>
      </c>
      <c r="F87" s="1152">
        <v>30</v>
      </c>
    </row>
    <row r="88" spans="1:6" s="1103" customFormat="1" ht="36">
      <c r="A88" s="1152">
        <v>28</v>
      </c>
      <c r="B88" s="3376"/>
      <c r="C88" s="1066" t="s">
        <v>1558</v>
      </c>
      <c r="D88" s="1066" t="s">
        <v>1559</v>
      </c>
      <c r="E88" s="1137">
        <v>0.2</v>
      </c>
      <c r="F88" s="1152">
        <v>30</v>
      </c>
    </row>
    <row r="89" spans="1:6" s="1103" customFormat="1" ht="24">
      <c r="A89" s="1152">
        <v>29</v>
      </c>
      <c r="B89" s="3376"/>
      <c r="C89" s="1066" t="s">
        <v>1560</v>
      </c>
      <c r="D89" s="1066" t="s">
        <v>1561</v>
      </c>
      <c r="E89" s="1137">
        <v>0.2</v>
      </c>
      <c r="F89" s="1152">
        <v>30</v>
      </c>
    </row>
    <row r="90" spans="1:6" s="1103" customFormat="1" ht="24">
      <c r="A90" s="1152">
        <v>30</v>
      </c>
      <c r="B90" s="3376"/>
      <c r="C90" s="1066" t="s">
        <v>1562</v>
      </c>
      <c r="D90" s="1066" t="s">
        <v>1563</v>
      </c>
      <c r="E90" s="1137">
        <v>0.2</v>
      </c>
      <c r="F90" s="1152">
        <v>30</v>
      </c>
    </row>
    <row r="91" spans="1:6" s="1103" customFormat="1" ht="36">
      <c r="A91" s="1152">
        <v>31</v>
      </c>
      <c r="B91" s="3376"/>
      <c r="C91" s="1066" t="s">
        <v>1564</v>
      </c>
      <c r="D91" s="1066" t="s">
        <v>1565</v>
      </c>
      <c r="E91" s="1137">
        <v>0.2</v>
      </c>
      <c r="F91" s="1152">
        <v>30</v>
      </c>
    </row>
    <row r="92" spans="1:6" s="1103" customFormat="1" ht="24">
      <c r="A92" s="1152">
        <v>32</v>
      </c>
      <c r="B92" s="3376" t="s">
        <v>1566</v>
      </c>
      <c r="C92" s="1152" t="s">
        <v>1567</v>
      </c>
      <c r="D92" s="1066" t="s">
        <v>1568</v>
      </c>
      <c r="E92" s="1137">
        <v>0.2</v>
      </c>
      <c r="F92" s="1152">
        <v>30</v>
      </c>
    </row>
    <row r="93" spans="1:6" s="1103" customFormat="1" ht="36">
      <c r="A93" s="1152">
        <v>33</v>
      </c>
      <c r="B93" s="3376"/>
      <c r="C93" s="1152" t="s">
        <v>1569</v>
      </c>
      <c r="D93" s="1066" t="s">
        <v>1570</v>
      </c>
      <c r="E93" s="1137">
        <v>0.2</v>
      </c>
      <c r="F93" s="1152">
        <v>30</v>
      </c>
    </row>
    <row r="94" spans="1:6" s="1103" customFormat="1" ht="48">
      <c r="A94" s="1152">
        <v>34</v>
      </c>
      <c r="B94" s="3376"/>
      <c r="C94" s="1152" t="s">
        <v>1571</v>
      </c>
      <c r="D94" s="1066" t="s">
        <v>1572</v>
      </c>
      <c r="E94" s="1137">
        <v>0.2</v>
      </c>
      <c r="F94" s="1152">
        <v>30</v>
      </c>
    </row>
    <row r="95" spans="1:6" s="1103" customFormat="1" ht="36">
      <c r="A95" s="1152">
        <v>35</v>
      </c>
      <c r="B95" s="3376"/>
      <c r="C95" s="1152" t="s">
        <v>1573</v>
      </c>
      <c r="D95" s="1066" t="s">
        <v>1574</v>
      </c>
      <c r="E95" s="1137">
        <v>0.2</v>
      </c>
      <c r="F95" s="1152">
        <v>30</v>
      </c>
    </row>
    <row r="96" spans="1:6" s="1103" customFormat="1" ht="48">
      <c r="A96" s="1152">
        <v>36</v>
      </c>
      <c r="B96" s="3376"/>
      <c r="C96" s="1066" t="s">
        <v>1575</v>
      </c>
      <c r="D96" s="1066" t="s">
        <v>1576</v>
      </c>
      <c r="E96" s="1137">
        <v>0.2</v>
      </c>
      <c r="F96" s="1152">
        <v>30</v>
      </c>
    </row>
    <row r="97" spans="1:6" s="1103" customFormat="1" ht="36">
      <c r="A97" s="1152">
        <v>37</v>
      </c>
      <c r="B97" s="3376"/>
      <c r="C97" s="1152" t="s">
        <v>1577</v>
      </c>
      <c r="D97" s="1066" t="s">
        <v>1578</v>
      </c>
      <c r="E97" s="1137">
        <v>0.2</v>
      </c>
      <c r="F97" s="1152">
        <v>30</v>
      </c>
    </row>
    <row r="98" spans="1:6" s="1103" customFormat="1" ht="36">
      <c r="A98" s="1152">
        <v>38</v>
      </c>
      <c r="B98" s="3376"/>
      <c r="C98" s="1152" t="s">
        <v>1579</v>
      </c>
      <c r="D98" s="1066" t="s">
        <v>1580</v>
      </c>
      <c r="E98" s="1137">
        <v>0.2</v>
      </c>
      <c r="F98" s="1152">
        <v>30</v>
      </c>
    </row>
    <row r="99" spans="1:6" s="1103" customFormat="1" ht="36">
      <c r="A99" s="1152">
        <v>39</v>
      </c>
      <c r="B99" s="3376" t="s">
        <v>1581</v>
      </c>
      <c r="C99" s="1152" t="s">
        <v>1582</v>
      </c>
      <c r="D99" s="1066" t="s">
        <v>1583</v>
      </c>
      <c r="E99" s="1137">
        <v>0.3</v>
      </c>
      <c r="F99" s="1152">
        <v>50</v>
      </c>
    </row>
    <row r="100" spans="1:6" s="1103" customFormat="1" ht="24">
      <c r="A100" s="1152">
        <v>40</v>
      </c>
      <c r="B100" s="3376"/>
      <c r="C100" s="1152" t="s">
        <v>1584</v>
      </c>
      <c r="D100" s="1066" t="s">
        <v>1585</v>
      </c>
      <c r="E100" s="1137">
        <v>0.2</v>
      </c>
      <c r="F100" s="1152">
        <v>30</v>
      </c>
    </row>
    <row r="101" spans="1:6" s="1103" customFormat="1" ht="36">
      <c r="A101" s="1152">
        <v>41</v>
      </c>
      <c r="B101" s="3376"/>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376" t="s">
        <v>1596</v>
      </c>
      <c r="C105" s="1152" t="s">
        <v>1597</v>
      </c>
      <c r="D105" s="1066" t="s">
        <v>1598</v>
      </c>
      <c r="E105" s="1137">
        <v>0.2</v>
      </c>
      <c r="F105" s="1152">
        <v>30</v>
      </c>
    </row>
    <row r="106" spans="1:6" s="1103" customFormat="1" ht="36">
      <c r="A106" s="1152">
        <v>46</v>
      </c>
      <c r="B106" s="3376"/>
      <c r="C106" s="1152" t="s">
        <v>1599</v>
      </c>
      <c r="D106" s="1066" t="s">
        <v>1600</v>
      </c>
      <c r="E106" s="1137">
        <v>0.2</v>
      </c>
      <c r="F106" s="1152">
        <v>30</v>
      </c>
    </row>
    <row r="107" spans="1:6" s="1103" customFormat="1" ht="36">
      <c r="A107" s="1152">
        <v>47</v>
      </c>
      <c r="B107" s="3376" t="s">
        <v>1601</v>
      </c>
      <c r="C107" s="1152" t="s">
        <v>1602</v>
      </c>
      <c r="D107" s="1066" t="s">
        <v>1603</v>
      </c>
      <c r="E107" s="1137">
        <v>0.3</v>
      </c>
      <c r="F107" s="1152">
        <v>50</v>
      </c>
    </row>
    <row r="108" spans="1:6" s="1103" customFormat="1" ht="36">
      <c r="A108" s="1152">
        <v>48</v>
      </c>
      <c r="B108" s="3376"/>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376" t="s">
        <v>1612</v>
      </c>
      <c r="C111" s="1152" t="s">
        <v>1613</v>
      </c>
      <c r="D111" s="1066" t="s">
        <v>1614</v>
      </c>
      <c r="E111" s="1137">
        <v>0.2</v>
      </c>
      <c r="F111" s="1152">
        <v>30</v>
      </c>
    </row>
    <row r="112" spans="1:6" s="1103" customFormat="1" ht="24">
      <c r="A112" s="1152">
        <v>52</v>
      </c>
      <c r="B112" s="3376"/>
      <c r="C112" s="1152" t="s">
        <v>1615</v>
      </c>
      <c r="D112" s="1066" t="s">
        <v>1616</v>
      </c>
      <c r="E112" s="1137">
        <v>0.2</v>
      </c>
      <c r="F112" s="1152">
        <v>30</v>
      </c>
    </row>
    <row r="113" spans="1:14" s="1103" customFormat="1" ht="24">
      <c r="A113" s="1152">
        <v>53</v>
      </c>
      <c r="B113" s="3376"/>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376" t="s">
        <v>1625</v>
      </c>
      <c r="C116" s="1152" t="s">
        <v>1626</v>
      </c>
      <c r="D116" s="1066" t="s">
        <v>1627</v>
      </c>
      <c r="E116" s="1137">
        <v>0.2</v>
      </c>
      <c r="F116" s="1152">
        <v>30</v>
      </c>
    </row>
    <row r="117" spans="1:14" ht="36">
      <c r="A117" s="1152">
        <v>57</v>
      </c>
      <c r="B117" s="3376"/>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375" t="s">
        <v>1634</v>
      </c>
      <c r="B121" s="3375"/>
      <c r="C121" s="3375"/>
      <c r="D121" s="3375"/>
      <c r="E121" s="3375"/>
      <c r="F121" s="3375"/>
      <c r="G121" s="3375"/>
      <c r="H121" s="3375"/>
      <c r="I121" s="3375"/>
      <c r="J121" s="337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1" t="s">
        <v>1040</v>
      </c>
      <c r="B1" s="3441"/>
      <c r="C1" s="3441"/>
      <c r="D1" s="3441"/>
      <c r="E1" s="3441"/>
      <c r="F1" s="3441"/>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42" t="s">
        <v>1053</v>
      </c>
      <c r="B2" s="3442"/>
      <c r="C2" s="3442"/>
      <c r="D2" s="3442"/>
      <c r="E2" s="3442"/>
      <c r="F2" s="3442"/>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43"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44"/>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5" t="s">
        <v>2081</v>
      </c>
      <c r="B1" s="3445"/>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1097</v>
      </c>
      <c r="B6" s="1858" t="s">
        <v>2090</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2091</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2092</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2093</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2094</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2095</v>
      </c>
      <c r="C72" s="1868"/>
      <c r="D72" s="1868"/>
      <c r="E72" s="1868"/>
      <c r="F72" s="1860">
        <v>0.05</v>
      </c>
    </row>
    <row r="73" spans="1:6" ht="14.25" thickBot="1">
      <c r="A73" s="1854" t="s">
        <v>925</v>
      </c>
      <c r="B73" s="1858" t="s">
        <v>2096</v>
      </c>
      <c r="C73" s="1868"/>
      <c r="D73" s="1868"/>
      <c r="E73" s="1868"/>
      <c r="F73" s="1860">
        <v>0.05</v>
      </c>
    </row>
    <row r="74" spans="1:6" ht="14.25" thickBot="1">
      <c r="A74" s="1854" t="s">
        <v>925</v>
      </c>
      <c r="B74" s="1858" t="s">
        <v>2097</v>
      </c>
      <c r="C74" s="1868"/>
      <c r="D74" s="1868"/>
      <c r="E74" s="1868"/>
      <c r="F74" s="1860">
        <v>0.05</v>
      </c>
    </row>
    <row r="75" spans="1:6" ht="14.25" thickBot="1">
      <c r="A75" s="1862" t="s">
        <v>925</v>
      </c>
      <c r="B75" s="1869" t="s">
        <v>2098</v>
      </c>
      <c r="C75" s="1865"/>
      <c r="D75" s="1865"/>
      <c r="E75" s="1865"/>
      <c r="F75" s="1870">
        <v>0.05</v>
      </c>
    </row>
    <row r="76" spans="1:6" ht="14.25" thickBot="1">
      <c r="A76" s="1854" t="s">
        <v>1408</v>
      </c>
      <c r="B76" s="1855" t="s">
        <v>2099</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2100</v>
      </c>
      <c r="C102" s="1868"/>
      <c r="D102" s="1868"/>
      <c r="E102" s="1868"/>
      <c r="F102" s="1860">
        <v>0.05</v>
      </c>
    </row>
    <row r="103" spans="1:6" ht="24.75" thickBot="1">
      <c r="A103" s="1854" t="s">
        <v>1408</v>
      </c>
      <c r="B103" s="1858" t="s">
        <v>2101</v>
      </c>
      <c r="C103" s="1868"/>
      <c r="D103" s="1868"/>
      <c r="E103" s="1868"/>
      <c r="F103" s="1860">
        <v>0.05</v>
      </c>
    </row>
    <row r="104" spans="1:6" ht="14.25" thickBot="1">
      <c r="A104" s="1854" t="s">
        <v>1408</v>
      </c>
      <c r="B104" s="1858" t="s">
        <v>2102</v>
      </c>
      <c r="C104" s="1868"/>
      <c r="D104" s="1868"/>
      <c r="E104" s="1868"/>
      <c r="F104" s="1860">
        <v>0.05</v>
      </c>
    </row>
    <row r="105" spans="1:6" ht="14.25" thickBot="1">
      <c r="A105" s="1854" t="s">
        <v>1408</v>
      </c>
      <c r="B105" s="1858" t="s">
        <v>2103</v>
      </c>
      <c r="C105" s="1868"/>
      <c r="D105" s="1868"/>
      <c r="E105" s="1868"/>
      <c r="F105" s="1860">
        <v>0.05</v>
      </c>
    </row>
    <row r="106" spans="1:6" ht="14.25" thickBot="1">
      <c r="A106" s="1854" t="s">
        <v>1408</v>
      </c>
      <c r="B106" s="1858" t="s">
        <v>2104</v>
      </c>
      <c r="C106" s="1868"/>
      <c r="D106" s="1868"/>
      <c r="E106" s="1868"/>
      <c r="F106" s="1860">
        <v>0.05</v>
      </c>
    </row>
    <row r="107" spans="1:6" ht="24.75" thickBot="1">
      <c r="A107" s="1854" t="s">
        <v>1408</v>
      </c>
      <c r="B107" s="1858" t="s">
        <v>2105</v>
      </c>
      <c r="C107" s="1868"/>
      <c r="D107" s="1868"/>
      <c r="E107" s="1868"/>
      <c r="F107" s="1860">
        <v>0.05</v>
      </c>
    </row>
    <row r="108" spans="1:6" ht="24.75" thickBot="1">
      <c r="A108" s="1854" t="s">
        <v>1408</v>
      </c>
      <c r="B108" s="1858" t="s">
        <v>2106</v>
      </c>
      <c r="C108" s="1868"/>
      <c r="D108" s="1868"/>
      <c r="E108" s="1868"/>
      <c r="F108" s="1860">
        <v>0.05</v>
      </c>
    </row>
    <row r="109" spans="1:6" ht="24.75" thickBot="1">
      <c r="A109" s="1862" t="s">
        <v>1408</v>
      </c>
      <c r="B109" s="1869" t="s">
        <v>2107</v>
      </c>
      <c r="C109" s="1865"/>
      <c r="D109" s="1865"/>
      <c r="E109" s="1865"/>
      <c r="F109" s="1870">
        <v>0.05</v>
      </c>
    </row>
    <row r="110" spans="1:6" ht="14.25" thickBot="1">
      <c r="A110" s="1854" t="s">
        <v>1410</v>
      </c>
      <c r="B110" s="1855" t="s">
        <v>2108</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2109</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2110</v>
      </c>
      <c r="C138" s="1859">
        <v>0.105</v>
      </c>
      <c r="D138" s="1859">
        <v>0.125</v>
      </c>
      <c r="E138" s="1859">
        <v>0.112</v>
      </c>
      <c r="F138" s="1867"/>
    </row>
    <row r="139" spans="1:6" ht="14.25" thickBot="1">
      <c r="A139" s="1854" t="s">
        <v>1410</v>
      </c>
      <c r="B139" s="1858" t="s">
        <v>2111</v>
      </c>
      <c r="C139" s="1859">
        <v>0.127</v>
      </c>
      <c r="D139" s="1859">
        <v>0.127</v>
      </c>
      <c r="E139" s="1859">
        <v>0.122</v>
      </c>
      <c r="F139" s="1860">
        <v>0.13</v>
      </c>
    </row>
    <row r="140" spans="1:6" ht="14.25" thickBot="1">
      <c r="A140" s="1854" t="s">
        <v>1410</v>
      </c>
      <c r="B140" s="1858" t="s">
        <v>2112</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2113</v>
      </c>
      <c r="C144" s="1872">
        <v>0.126</v>
      </c>
      <c r="D144" s="1872">
        <v>0.126</v>
      </c>
      <c r="E144" s="1872">
        <v>0.121</v>
      </c>
      <c r="F144" s="1867"/>
    </row>
    <row r="145" spans="1:6" ht="14.25" thickBot="1">
      <c r="A145" s="1862" t="s">
        <v>1410</v>
      </c>
      <c r="B145" s="1873" t="s">
        <v>2114</v>
      </c>
      <c r="C145" s="1874"/>
      <c r="D145" s="1874"/>
      <c r="E145" s="1874"/>
      <c r="F145" s="1875">
        <v>0.05</v>
      </c>
    </row>
    <row r="146" spans="1:6" ht="24.75" thickBot="1">
      <c r="A146" s="1876" t="s">
        <v>1410</v>
      </c>
      <c r="B146" s="1861" t="s">
        <v>2115</v>
      </c>
      <c r="C146" s="1868"/>
      <c r="D146" s="1868"/>
      <c r="E146" s="1868"/>
      <c r="F146" s="1877">
        <v>0.05</v>
      </c>
    </row>
    <row r="147" spans="1:6" ht="24.75" thickBot="1">
      <c r="A147" s="1854" t="s">
        <v>1410</v>
      </c>
      <c r="B147" s="1858" t="s">
        <v>2116</v>
      </c>
      <c r="C147" s="1868"/>
      <c r="D147" s="1868"/>
      <c r="E147" s="1868"/>
      <c r="F147" s="1860">
        <v>0.05</v>
      </c>
    </row>
    <row r="148" spans="1:6" ht="24.75" thickBot="1">
      <c r="A148" s="1854" t="s">
        <v>1410</v>
      </c>
      <c r="B148" s="1858" t="s">
        <v>2117</v>
      </c>
      <c r="C148" s="1868"/>
      <c r="D148" s="1868"/>
      <c r="E148" s="1868"/>
      <c r="F148" s="1860">
        <v>0.05</v>
      </c>
    </row>
    <row r="149" spans="1:6" ht="24.75" thickBot="1">
      <c r="A149" s="1854" t="s">
        <v>1410</v>
      </c>
      <c r="B149" s="1858" t="s">
        <v>2118</v>
      </c>
      <c r="C149" s="1868"/>
      <c r="D149" s="1868"/>
      <c r="E149" s="1868"/>
      <c r="F149" s="1860">
        <v>0.05</v>
      </c>
    </row>
    <row r="150" spans="1:6" ht="24.75" thickBot="1">
      <c r="A150" s="1854" t="s">
        <v>1410</v>
      </c>
      <c r="B150" s="1858" t="s">
        <v>2119</v>
      </c>
      <c r="C150" s="1868"/>
      <c r="D150" s="1868"/>
      <c r="E150" s="1868"/>
      <c r="F150" s="1860">
        <v>0.05</v>
      </c>
    </row>
    <row r="151" spans="1:6" ht="24.75" thickBot="1">
      <c r="A151" s="1854" t="s">
        <v>1410</v>
      </c>
      <c r="B151" s="1858" t="s">
        <v>2120</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2121</v>
      </c>
      <c r="C153" s="1868"/>
      <c r="D153" s="1868"/>
      <c r="E153" s="1868"/>
      <c r="F153" s="1860">
        <v>0.05</v>
      </c>
    </row>
    <row r="154" spans="1:6" ht="14.25" thickBot="1">
      <c r="A154" s="1854" t="s">
        <v>1410</v>
      </c>
      <c r="B154" s="1858" t="s">
        <v>2122</v>
      </c>
      <c r="C154" s="1868"/>
      <c r="D154" s="1868"/>
      <c r="E154" s="1868"/>
      <c r="F154" s="1860">
        <v>0.05</v>
      </c>
    </row>
    <row r="155" spans="1:6" ht="24.75" thickBot="1">
      <c r="A155" s="1854" t="s">
        <v>1410</v>
      </c>
      <c r="B155" s="1858" t="s">
        <v>2123</v>
      </c>
      <c r="C155" s="1868"/>
      <c r="D155" s="1868"/>
      <c r="E155" s="1868"/>
      <c r="F155" s="1860">
        <v>0.05</v>
      </c>
    </row>
    <row r="156" spans="1:6" ht="24.75" thickBot="1">
      <c r="A156" s="1854" t="s">
        <v>1410</v>
      </c>
      <c r="B156" s="1858" t="s">
        <v>2124</v>
      </c>
      <c r="C156" s="1868"/>
      <c r="D156" s="1868"/>
      <c r="E156" s="1868"/>
      <c r="F156" s="1860">
        <v>0.05</v>
      </c>
    </row>
    <row r="157" spans="1:6" ht="14.25" thickBot="1">
      <c r="A157" s="1862" t="s">
        <v>1410</v>
      </c>
      <c r="B157" s="1869" t="s">
        <v>2125</v>
      </c>
      <c r="C157" s="1865"/>
      <c r="D157" s="1865"/>
      <c r="E157" s="1865"/>
      <c r="F157" s="1870">
        <v>0.05</v>
      </c>
    </row>
    <row r="158" spans="1:6" ht="14.25" thickBot="1">
      <c r="A158" s="1854" t="s">
        <v>1412</v>
      </c>
      <c r="B158" s="1855" t="s">
        <v>2126</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2127</v>
      </c>
      <c r="C171" s="1859">
        <v>0.127</v>
      </c>
      <c r="D171" s="1859">
        <v>0.126</v>
      </c>
      <c r="E171" s="1859">
        <v>0.126</v>
      </c>
      <c r="F171" s="1860">
        <v>0.11799999999999999</v>
      </c>
    </row>
    <row r="172" spans="1:6" ht="14.25" thickBot="1">
      <c r="A172" s="1854" t="s">
        <v>1412</v>
      </c>
      <c r="B172" s="1858" t="s">
        <v>2128</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2129</v>
      </c>
      <c r="C174" s="1859">
        <v>0.13</v>
      </c>
      <c r="D174" s="1859">
        <v>0.13</v>
      </c>
      <c r="E174" s="1859">
        <v>0.13</v>
      </c>
      <c r="F174" s="1860">
        <v>0.13</v>
      </c>
    </row>
    <row r="175" spans="1:6" ht="14.25" thickBot="1">
      <c r="A175" s="1854" t="s">
        <v>1412</v>
      </c>
      <c r="B175" s="1858" t="s">
        <v>2130</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2131</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2132</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2133</v>
      </c>
      <c r="C185" s="1859">
        <v>0.127</v>
      </c>
      <c r="D185" s="1859">
        <v>0.127</v>
      </c>
      <c r="E185" s="1859">
        <v>0.128</v>
      </c>
      <c r="F185" s="1860">
        <v>0.13</v>
      </c>
    </row>
    <row r="186" spans="1:6" ht="24.75" thickBot="1">
      <c r="A186" s="1854" t="s">
        <v>1412</v>
      </c>
      <c r="B186" s="1858" t="s">
        <v>2134</v>
      </c>
      <c r="C186" s="1868"/>
      <c r="D186" s="1868"/>
      <c r="E186" s="1868"/>
      <c r="F186" s="1860">
        <v>0.05</v>
      </c>
    </row>
    <row r="187" spans="1:6" ht="14.25" thickBot="1">
      <c r="A187" s="1854" t="s">
        <v>1412</v>
      </c>
      <c r="B187" s="1858" t="s">
        <v>2135</v>
      </c>
      <c r="C187" s="1868"/>
      <c r="D187" s="1868"/>
      <c r="E187" s="1868"/>
      <c r="F187" s="1860">
        <v>0.05</v>
      </c>
    </row>
    <row r="188" spans="1:6" ht="14.25" thickBot="1">
      <c r="A188" s="1854" t="s">
        <v>1412</v>
      </c>
      <c r="B188" s="1858" t="s">
        <v>2136</v>
      </c>
      <c r="C188" s="1868"/>
      <c r="D188" s="1868"/>
      <c r="E188" s="1868"/>
      <c r="F188" s="1860">
        <v>0.05</v>
      </c>
    </row>
    <row r="189" spans="1:6" ht="24.75" thickBot="1">
      <c r="A189" s="1854" t="s">
        <v>1412</v>
      </c>
      <c r="B189" s="1858" t="s">
        <v>2137</v>
      </c>
      <c r="C189" s="1868"/>
      <c r="D189" s="1868"/>
      <c r="E189" s="1868"/>
      <c r="F189" s="1860">
        <v>0.05</v>
      </c>
    </row>
    <row r="190" spans="1:6" ht="24.75" thickBot="1">
      <c r="A190" s="1854" t="s">
        <v>1412</v>
      </c>
      <c r="B190" s="1858" t="s">
        <v>2138</v>
      </c>
      <c r="C190" s="1868"/>
      <c r="D190" s="1868"/>
      <c r="E190" s="1868"/>
      <c r="F190" s="1860">
        <v>0.05</v>
      </c>
    </row>
    <row r="191" spans="1:6" ht="24.75" thickBot="1">
      <c r="A191" s="1854" t="s">
        <v>1412</v>
      </c>
      <c r="B191" s="1858" t="s">
        <v>2139</v>
      </c>
      <c r="C191" s="1868"/>
      <c r="D191" s="1868"/>
      <c r="E191" s="1868"/>
      <c r="F191" s="1860">
        <v>0.05</v>
      </c>
    </row>
    <row r="192" spans="1:6" ht="24.75" thickBot="1">
      <c r="A192" s="1854" t="s">
        <v>1412</v>
      </c>
      <c r="B192" s="1858" t="s">
        <v>2140</v>
      </c>
      <c r="C192" s="1868"/>
      <c r="D192" s="1868"/>
      <c r="E192" s="1868"/>
      <c r="F192" s="1860">
        <v>0.05</v>
      </c>
    </row>
    <row r="193" spans="1:6" ht="24.75" thickBot="1">
      <c r="A193" s="1854" t="s">
        <v>1412</v>
      </c>
      <c r="B193" s="1858" t="s">
        <v>2141</v>
      </c>
      <c r="C193" s="1868"/>
      <c r="D193" s="1868"/>
      <c r="E193" s="1868"/>
      <c r="F193" s="1860">
        <v>0.05</v>
      </c>
    </row>
    <row r="194" spans="1:6" ht="24.75" thickBot="1">
      <c r="A194" s="1854" t="s">
        <v>1412</v>
      </c>
      <c r="B194" s="1858" t="s">
        <v>2142</v>
      </c>
      <c r="C194" s="1868"/>
      <c r="D194" s="1868"/>
      <c r="E194" s="1868"/>
      <c r="F194" s="1860">
        <v>0.05</v>
      </c>
    </row>
    <row r="195" spans="1:6" ht="14.25" thickBot="1">
      <c r="A195" s="1854" t="s">
        <v>1412</v>
      </c>
      <c r="B195" s="1858" t="s">
        <v>2143</v>
      </c>
      <c r="C195" s="1868"/>
      <c r="D195" s="1868"/>
      <c r="E195" s="1868"/>
      <c r="F195" s="1860">
        <v>0.05</v>
      </c>
    </row>
    <row r="196" spans="1:6" ht="24.75" thickBot="1">
      <c r="A196" s="1854" t="s">
        <v>1412</v>
      </c>
      <c r="B196" s="1858" t="s">
        <v>2144</v>
      </c>
      <c r="C196" s="1868"/>
      <c r="D196" s="1868"/>
      <c r="E196" s="1868"/>
      <c r="F196" s="1860">
        <v>0.05</v>
      </c>
    </row>
    <row r="197" spans="1:6" ht="24.75" thickBot="1">
      <c r="A197" s="1854" t="s">
        <v>1412</v>
      </c>
      <c r="B197" s="1858" t="s">
        <v>2145</v>
      </c>
      <c r="C197" s="1868"/>
      <c r="D197" s="1868"/>
      <c r="E197" s="1868"/>
      <c r="F197" s="1860">
        <v>0.05</v>
      </c>
    </row>
    <row r="198" spans="1:6" ht="24.75" thickBot="1">
      <c r="A198" s="1854" t="s">
        <v>1412</v>
      </c>
      <c r="B198" s="1858" t="s">
        <v>2146</v>
      </c>
      <c r="C198" s="1868"/>
      <c r="D198" s="1868"/>
      <c r="E198" s="1868"/>
      <c r="F198" s="1860">
        <v>0.05</v>
      </c>
    </row>
    <row r="199" spans="1:6" ht="24.75" thickBot="1">
      <c r="A199" s="1854" t="s">
        <v>1412</v>
      </c>
      <c r="B199" s="1858" t="s">
        <v>2147</v>
      </c>
      <c r="C199" s="1868"/>
      <c r="D199" s="1868"/>
      <c r="E199" s="1868"/>
      <c r="F199" s="1860">
        <v>0.05</v>
      </c>
    </row>
    <row r="200" spans="1:6" ht="24.75" thickBot="1">
      <c r="A200" s="1854" t="s">
        <v>1412</v>
      </c>
      <c r="B200" s="1858" t="s">
        <v>2148</v>
      </c>
      <c r="C200" s="1868"/>
      <c r="D200" s="1868"/>
      <c r="E200" s="1868"/>
      <c r="F200" s="1860">
        <v>0.05</v>
      </c>
    </row>
    <row r="201" spans="1:6" ht="24.75" thickBot="1">
      <c r="A201" s="1854" t="s">
        <v>1412</v>
      </c>
      <c r="B201" s="1858" t="s">
        <v>2149</v>
      </c>
      <c r="C201" s="1868"/>
      <c r="D201" s="1868"/>
      <c r="E201" s="1868"/>
      <c r="F201" s="1860">
        <v>0.05</v>
      </c>
    </row>
    <row r="202" spans="1:6" ht="24.75" thickBot="1">
      <c r="A202" s="1854" t="s">
        <v>1412</v>
      </c>
      <c r="B202" s="1858" t="s">
        <v>2150</v>
      </c>
      <c r="C202" s="1868"/>
      <c r="D202" s="1868"/>
      <c r="E202" s="1868"/>
      <c r="F202" s="1860">
        <v>0.05</v>
      </c>
    </row>
    <row r="203" spans="1:6" ht="24.75" thickBot="1">
      <c r="A203" s="1854" t="s">
        <v>1412</v>
      </c>
      <c r="B203" s="1858" t="s">
        <v>2151</v>
      </c>
      <c r="C203" s="1868"/>
      <c r="D203" s="1868"/>
      <c r="E203" s="1868"/>
      <c r="F203" s="1860">
        <v>0.05</v>
      </c>
    </row>
    <row r="204" spans="1:6" ht="14.25" thickBot="1">
      <c r="A204" s="1854" t="s">
        <v>1412</v>
      </c>
      <c r="B204" s="1858" t="s">
        <v>2152</v>
      </c>
      <c r="C204" s="1868"/>
      <c r="D204" s="1868"/>
      <c r="E204" s="1868"/>
      <c r="F204" s="1860">
        <v>0.05</v>
      </c>
    </row>
    <row r="205" spans="1:6" ht="14.25" thickBot="1">
      <c r="A205" s="1862" t="s">
        <v>1412</v>
      </c>
      <c r="B205" s="1869" t="s">
        <v>2153</v>
      </c>
      <c r="C205" s="1865"/>
      <c r="D205" s="1865"/>
      <c r="E205" s="1865"/>
      <c r="F205" s="1870">
        <v>0.05</v>
      </c>
    </row>
    <row r="206" spans="1:6" ht="14.25" thickBot="1">
      <c r="A206" s="1854" t="s">
        <v>1414</v>
      </c>
      <c r="B206" s="1855" t="s">
        <v>2154</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2155</v>
      </c>
      <c r="C210" s="1859">
        <v>0.15</v>
      </c>
      <c r="D210" s="1859">
        <v>0.15</v>
      </c>
      <c r="E210" s="1859">
        <v>0.15</v>
      </c>
      <c r="F210" s="1860">
        <v>0.13800000000000001</v>
      </c>
    </row>
    <row r="211" spans="1:6" ht="14.25" thickBot="1">
      <c r="A211" s="1854" t="s">
        <v>1414</v>
      </c>
      <c r="B211" s="1858" t="s">
        <v>2156</v>
      </c>
      <c r="C211" s="1859">
        <v>0.13700000000000001</v>
      </c>
      <c r="D211" s="1859">
        <v>0.13500000000000001</v>
      </c>
      <c r="E211" s="1859">
        <v>0.13600000000000001</v>
      </c>
      <c r="F211" s="1860">
        <v>0.1</v>
      </c>
    </row>
    <row r="212" spans="1:6" ht="14.25" thickBot="1">
      <c r="A212" s="1854" t="s">
        <v>1414</v>
      </c>
      <c r="B212" s="1858" t="s">
        <v>2157</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2158</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2159</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2160</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2161</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2162</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2163</v>
      </c>
      <c r="C231" s="1859">
        <v>0.128</v>
      </c>
      <c r="D231" s="1859">
        <v>0.125</v>
      </c>
      <c r="E231" s="1859">
        <v>0.13200000000000001</v>
      </c>
      <c r="F231" s="1867"/>
    </row>
    <row r="232" spans="1:6" ht="14.25" thickBot="1">
      <c r="A232" s="1854" t="s">
        <v>1414</v>
      </c>
      <c r="B232" s="1858" t="s">
        <v>2164</v>
      </c>
      <c r="C232" s="1859">
        <v>0.14499999999999999</v>
      </c>
      <c r="D232" s="1859">
        <v>0.14399999999999999</v>
      </c>
      <c r="E232" s="1859">
        <v>0.14599999999999999</v>
      </c>
      <c r="F232" s="1860">
        <v>0.13800000000000001</v>
      </c>
    </row>
    <row r="233" spans="1:6" ht="14.25" thickBot="1">
      <c r="A233" s="1854" t="s">
        <v>1414</v>
      </c>
      <c r="B233" s="1858" t="s">
        <v>2165</v>
      </c>
      <c r="C233" s="1859">
        <v>0.14499999999999999</v>
      </c>
      <c r="D233" s="1859">
        <v>0.14299999999999999</v>
      </c>
      <c r="E233" s="1859">
        <v>0.14199999999999999</v>
      </c>
      <c r="F233" s="1867"/>
    </row>
    <row r="234" spans="1:6" ht="14.25" thickBot="1">
      <c r="A234" s="1854" t="s">
        <v>1414</v>
      </c>
      <c r="B234" s="1858" t="s">
        <v>2166</v>
      </c>
      <c r="C234" s="1859">
        <v>0.14000000000000001</v>
      </c>
      <c r="D234" s="1859">
        <v>0.14000000000000001</v>
      </c>
      <c r="E234" s="1859">
        <v>0.14399999999999999</v>
      </c>
      <c r="F234" s="1867"/>
    </row>
    <row r="235" spans="1:6" ht="14.25" thickBot="1">
      <c r="A235" s="1854" t="s">
        <v>1414</v>
      </c>
      <c r="B235" s="1858" t="s">
        <v>2167</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2168</v>
      </c>
      <c r="C237" s="1868"/>
      <c r="D237" s="1868"/>
      <c r="E237" s="1868"/>
      <c r="F237" s="1860">
        <v>0.05</v>
      </c>
    </row>
    <row r="238" spans="1:6" ht="24.75" thickBot="1">
      <c r="A238" s="1854" t="s">
        <v>1414</v>
      </c>
      <c r="B238" s="1858" t="s">
        <v>2169</v>
      </c>
      <c r="C238" s="1868"/>
      <c r="D238" s="1868"/>
      <c r="E238" s="1868"/>
      <c r="F238" s="1860">
        <v>0.05</v>
      </c>
    </row>
    <row r="239" spans="1:6" ht="24.75" thickBot="1">
      <c r="A239" s="1854" t="s">
        <v>1414</v>
      </c>
      <c r="B239" s="1858" t="s">
        <v>2170</v>
      </c>
      <c r="C239" s="1868"/>
      <c r="D239" s="1868"/>
      <c r="E239" s="1868"/>
      <c r="F239" s="1860">
        <v>0.05</v>
      </c>
    </row>
    <row r="240" spans="1:6" ht="24.75" thickBot="1">
      <c r="A240" s="1854" t="s">
        <v>1414</v>
      </c>
      <c r="B240" s="1858" t="s">
        <v>2171</v>
      </c>
      <c r="C240" s="1868"/>
      <c r="D240" s="1868"/>
      <c r="E240" s="1868"/>
      <c r="F240" s="1860">
        <v>0.05</v>
      </c>
    </row>
    <row r="241" spans="1:6" ht="24.75" thickBot="1">
      <c r="A241" s="1854" t="s">
        <v>1414</v>
      </c>
      <c r="B241" s="1858" t="s">
        <v>2172</v>
      </c>
      <c r="C241" s="1868"/>
      <c r="D241" s="1868"/>
      <c r="E241" s="1868"/>
      <c r="F241" s="1860">
        <v>0.05</v>
      </c>
    </row>
    <row r="242" spans="1:6" ht="24.75" thickBot="1">
      <c r="A242" s="1854" t="s">
        <v>1414</v>
      </c>
      <c r="B242" s="1858" t="s">
        <v>2173</v>
      </c>
      <c r="C242" s="1868"/>
      <c r="D242" s="1868"/>
      <c r="E242" s="1868"/>
      <c r="F242" s="1860">
        <v>0.05</v>
      </c>
    </row>
    <row r="243" spans="1:6" ht="24.75" thickBot="1">
      <c r="A243" s="1854" t="s">
        <v>1414</v>
      </c>
      <c r="B243" s="1858" t="s">
        <v>2174</v>
      </c>
      <c r="C243" s="1868"/>
      <c r="D243" s="1868"/>
      <c r="E243" s="1868"/>
      <c r="F243" s="1860">
        <v>0.05</v>
      </c>
    </row>
    <row r="244" spans="1:6" ht="24.75" thickBot="1">
      <c r="A244" s="1862" t="s">
        <v>1414</v>
      </c>
      <c r="B244" s="1869" t="s">
        <v>2175</v>
      </c>
      <c r="C244" s="1865"/>
      <c r="D244" s="1865"/>
      <c r="E244" s="1865"/>
      <c r="F244" s="1870">
        <v>0.05</v>
      </c>
    </row>
    <row r="245" spans="1:6" ht="14.25" thickBot="1">
      <c r="A245" s="1854" t="s">
        <v>1416</v>
      </c>
      <c r="B245" s="1855" t="s">
        <v>2176</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2177</v>
      </c>
      <c r="C247" s="1859">
        <v>0.15</v>
      </c>
      <c r="D247" s="1859">
        <v>0.15</v>
      </c>
      <c r="E247" s="1859">
        <v>0.15</v>
      </c>
      <c r="F247" s="1860">
        <v>0.15</v>
      </c>
    </row>
    <row r="248" spans="1:6" ht="14.25" thickBot="1">
      <c r="A248" s="1854" t="s">
        <v>1416</v>
      </c>
      <c r="B248" s="1858" t="s">
        <v>2178</v>
      </c>
      <c r="C248" s="1859">
        <v>0.15</v>
      </c>
      <c r="D248" s="1859">
        <v>0.15</v>
      </c>
      <c r="E248" s="1859">
        <v>0.15</v>
      </c>
      <c r="F248" s="1860">
        <v>0.14000000000000001</v>
      </c>
    </row>
    <row r="249" spans="1:6" ht="14.25" thickBot="1">
      <c r="A249" s="1854" t="s">
        <v>1416</v>
      </c>
      <c r="B249" s="1858" t="s">
        <v>2179</v>
      </c>
      <c r="C249" s="1859">
        <v>0.15</v>
      </c>
      <c r="D249" s="1859">
        <v>0.14899999999999999</v>
      </c>
      <c r="E249" s="1859">
        <v>0.15</v>
      </c>
      <c r="F249" s="1860">
        <v>0.1</v>
      </c>
    </row>
    <row r="250" spans="1:6" ht="14.25" thickBot="1">
      <c r="A250" s="1854" t="s">
        <v>1416</v>
      </c>
      <c r="B250" s="1858" t="s">
        <v>2180</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2181</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2182</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2183</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2184</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2185</v>
      </c>
      <c r="C273" s="1859">
        <v>0.14199999999999999</v>
      </c>
      <c r="D273" s="1859">
        <v>0.14299999999999999</v>
      </c>
      <c r="E273" s="1859">
        <v>0.15</v>
      </c>
      <c r="F273" s="1860">
        <v>0.1</v>
      </c>
    </row>
    <row r="274" spans="1:6" ht="14.25" thickBot="1">
      <c r="A274" s="1854" t="s">
        <v>1416</v>
      </c>
      <c r="B274" s="1858" t="s">
        <v>2186</v>
      </c>
      <c r="C274" s="1859">
        <v>0.14799999999999999</v>
      </c>
      <c r="D274" s="1859">
        <v>0.14799999999999999</v>
      </c>
      <c r="E274" s="1859">
        <v>0.15</v>
      </c>
      <c r="F274" s="1860">
        <v>6.7000000000000004E-2</v>
      </c>
    </row>
    <row r="275" spans="1:6" ht="14.25" thickBot="1">
      <c r="A275" s="1854" t="s">
        <v>1416</v>
      </c>
      <c r="B275" s="1858" t="s">
        <v>2187</v>
      </c>
      <c r="C275" s="1859">
        <v>0.15</v>
      </c>
      <c r="D275" s="1859">
        <v>0.15</v>
      </c>
      <c r="E275" s="1859">
        <v>0.15</v>
      </c>
      <c r="F275" s="1860">
        <v>0.15</v>
      </c>
    </row>
    <row r="276" spans="1:6" ht="14.25" thickBot="1">
      <c r="A276" s="1854" t="s">
        <v>1416</v>
      </c>
      <c r="B276" s="1858" t="s">
        <v>2188</v>
      </c>
      <c r="C276" s="1859">
        <v>0.14499999999999999</v>
      </c>
      <c r="D276" s="1859">
        <v>0.14299999999999999</v>
      </c>
      <c r="E276" s="1859">
        <v>0.15</v>
      </c>
      <c r="F276" s="1860">
        <v>5.8999999999999997E-2</v>
      </c>
    </row>
    <row r="277" spans="1:6" ht="14.25" thickBot="1">
      <c r="A277" s="1854" t="s">
        <v>1416</v>
      </c>
      <c r="B277" s="1858" t="s">
        <v>2189</v>
      </c>
      <c r="C277" s="1859">
        <v>0.15</v>
      </c>
      <c r="D277" s="1859">
        <v>0.15</v>
      </c>
      <c r="E277" s="1859">
        <v>0.15</v>
      </c>
      <c r="F277" s="1860">
        <v>0.121</v>
      </c>
    </row>
    <row r="278" spans="1:6" ht="14.25" thickBot="1">
      <c r="A278" s="1854" t="s">
        <v>1416</v>
      </c>
      <c r="B278" s="1858" t="s">
        <v>2190</v>
      </c>
      <c r="C278" s="1859">
        <v>0.15</v>
      </c>
      <c r="D278" s="1859">
        <v>0.15</v>
      </c>
      <c r="E278" s="1859">
        <v>0.15</v>
      </c>
      <c r="F278" s="1860">
        <v>0.13800000000000001</v>
      </c>
    </row>
    <row r="279" spans="1:6" ht="24.75" thickBot="1">
      <c r="A279" s="1854" t="s">
        <v>1416</v>
      </c>
      <c r="B279" s="1858" t="s">
        <v>2191</v>
      </c>
      <c r="C279" s="1868"/>
      <c r="D279" s="1868"/>
      <c r="E279" s="1868"/>
      <c r="F279" s="1860">
        <v>0.05</v>
      </c>
    </row>
    <row r="280" spans="1:6" ht="24.75" thickBot="1">
      <c r="A280" s="1854" t="s">
        <v>1416</v>
      </c>
      <c r="B280" s="1858" t="s">
        <v>2192</v>
      </c>
      <c r="C280" s="1868"/>
      <c r="D280" s="1868"/>
      <c r="E280" s="1868"/>
      <c r="F280" s="1860">
        <v>0.05</v>
      </c>
    </row>
    <row r="281" spans="1:6" ht="24.75" thickBot="1">
      <c r="A281" s="1854" t="s">
        <v>1416</v>
      </c>
      <c r="B281" s="1858" t="s">
        <v>2193</v>
      </c>
      <c r="C281" s="1868"/>
      <c r="D281" s="1868"/>
      <c r="E281" s="1868"/>
      <c r="F281" s="1860">
        <v>0.05</v>
      </c>
    </row>
    <row r="282" spans="1:6" ht="24.75" thickBot="1">
      <c r="A282" s="1854" t="s">
        <v>1416</v>
      </c>
      <c r="B282" s="1858" t="s">
        <v>2194</v>
      </c>
      <c r="C282" s="1868"/>
      <c r="D282" s="1868"/>
      <c r="E282" s="1868"/>
      <c r="F282" s="1860">
        <v>0.05</v>
      </c>
    </row>
    <row r="283" spans="1:6" ht="24.75" thickBot="1">
      <c r="A283" s="1854" t="s">
        <v>1416</v>
      </c>
      <c r="B283" s="1858" t="s">
        <v>2195</v>
      </c>
      <c r="C283" s="1868"/>
      <c r="D283" s="1868"/>
      <c r="E283" s="1868"/>
      <c r="F283" s="1860">
        <v>0.05</v>
      </c>
    </row>
    <row r="284" spans="1:6" ht="24.75" thickBot="1">
      <c r="A284" s="1854" t="s">
        <v>1416</v>
      </c>
      <c r="B284" s="1858" t="s">
        <v>2196</v>
      </c>
      <c r="C284" s="1868"/>
      <c r="D284" s="1868"/>
      <c r="E284" s="1868"/>
      <c r="F284" s="1860">
        <v>0.05</v>
      </c>
    </row>
    <row r="285" spans="1:6" ht="24.75" thickBot="1">
      <c r="A285" s="1854" t="s">
        <v>1416</v>
      </c>
      <c r="B285" s="1858" t="s">
        <v>2197</v>
      </c>
      <c r="C285" s="1868"/>
      <c r="D285" s="1868"/>
      <c r="E285" s="1868"/>
      <c r="F285" s="1860">
        <v>0.05</v>
      </c>
    </row>
    <row r="286" spans="1:6" ht="24.75" thickBot="1">
      <c r="A286" s="1854" t="s">
        <v>1416</v>
      </c>
      <c r="B286" s="1858" t="s">
        <v>2198</v>
      </c>
      <c r="C286" s="1868"/>
      <c r="D286" s="1868"/>
      <c r="E286" s="1868"/>
      <c r="F286" s="1860">
        <v>0.05</v>
      </c>
    </row>
    <row r="287" spans="1:6" ht="24.75" thickBot="1">
      <c r="A287" s="1854" t="s">
        <v>1416</v>
      </c>
      <c r="B287" s="1858" t="s">
        <v>2199</v>
      </c>
      <c r="C287" s="1868"/>
      <c r="D287" s="1868"/>
      <c r="E287" s="1868"/>
      <c r="F287" s="1860">
        <v>0.05</v>
      </c>
    </row>
    <row r="288" spans="1:6" ht="24.75" thickBot="1">
      <c r="A288" s="1854" t="s">
        <v>1416</v>
      </c>
      <c r="B288" s="1858" t="s">
        <v>2200</v>
      </c>
      <c r="C288" s="1868"/>
      <c r="D288" s="1868"/>
      <c r="E288" s="1868"/>
      <c r="F288" s="1860">
        <v>0.05</v>
      </c>
    </row>
    <row r="289" spans="1:6" ht="24.75" thickBot="1">
      <c r="A289" s="1862" t="s">
        <v>1416</v>
      </c>
      <c r="B289" s="1869" t="s">
        <v>2201</v>
      </c>
      <c r="C289" s="1865"/>
      <c r="D289" s="1865"/>
      <c r="E289" s="1865"/>
      <c r="F289" s="1870">
        <v>0.05</v>
      </c>
    </row>
    <row r="290" spans="1:6" ht="14.25" thickBot="1">
      <c r="A290" s="1854" t="s">
        <v>1420</v>
      </c>
      <c r="B290" s="1855" t="s">
        <v>2202</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2203</v>
      </c>
      <c r="C292" s="1859">
        <v>0.15</v>
      </c>
      <c r="D292" s="1859">
        <v>0.15</v>
      </c>
      <c r="E292" s="1859">
        <v>0.15</v>
      </c>
      <c r="F292" s="1860">
        <v>0.14699999999999999</v>
      </c>
    </row>
    <row r="293" spans="1:6" ht="14.25" thickBot="1">
      <c r="A293" s="1854" t="s">
        <v>1420</v>
      </c>
      <c r="B293" s="1858" t="s">
        <v>2204</v>
      </c>
      <c r="C293" s="1868"/>
      <c r="D293" s="1868"/>
      <c r="E293" s="1868"/>
      <c r="F293" s="1860">
        <v>0.1</v>
      </c>
    </row>
    <row r="294" spans="1:6" ht="14.25" thickBot="1">
      <c r="A294" s="1854" t="s">
        <v>1420</v>
      </c>
      <c r="B294" s="1858" t="s">
        <v>2205</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2206</v>
      </c>
      <c r="C296" s="1859">
        <v>0.15</v>
      </c>
      <c r="D296" s="1859">
        <v>0.15</v>
      </c>
      <c r="E296" s="1859">
        <v>0.15</v>
      </c>
      <c r="F296" s="1860">
        <v>0.15</v>
      </c>
    </row>
    <row r="297" spans="1:6" ht="14.25" thickBot="1">
      <c r="A297" s="1854" t="s">
        <v>1420</v>
      </c>
      <c r="B297" s="1858" t="s">
        <v>2207</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2208</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2209</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2210</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2211</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2212</v>
      </c>
      <c r="C310" s="1859">
        <v>0.15</v>
      </c>
      <c r="D310" s="1859">
        <v>0.15</v>
      </c>
      <c r="E310" s="1859">
        <v>0.15</v>
      </c>
      <c r="F310" s="1860">
        <v>0.13700000000000001</v>
      </c>
    </row>
    <row r="311" spans="1:6" ht="14.25" thickBot="1">
      <c r="A311" s="1854" t="s">
        <v>1420</v>
      </c>
      <c r="B311" s="1858" t="s">
        <v>2213</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2214</v>
      </c>
      <c r="C313" s="1859">
        <v>0.15</v>
      </c>
      <c r="D313" s="1859">
        <v>0.15</v>
      </c>
      <c r="E313" s="1859">
        <v>0.15</v>
      </c>
      <c r="F313" s="1860">
        <v>0.15</v>
      </c>
    </row>
    <row r="314" spans="1:6" ht="24.75" thickBot="1">
      <c r="A314" s="1854" t="s">
        <v>1420</v>
      </c>
      <c r="B314" s="1858" t="s">
        <v>2215</v>
      </c>
      <c r="C314" s="1868"/>
      <c r="D314" s="1868"/>
      <c r="E314" s="1868"/>
      <c r="F314" s="1860">
        <v>0.05</v>
      </c>
    </row>
    <row r="315" spans="1:6" ht="24.75" thickBot="1">
      <c r="A315" s="1854" t="s">
        <v>1420</v>
      </c>
      <c r="B315" s="1858" t="s">
        <v>2216</v>
      </c>
      <c r="C315" s="1868"/>
      <c r="D315" s="1868"/>
      <c r="E315" s="1868"/>
      <c r="F315" s="1860">
        <v>0.05</v>
      </c>
    </row>
    <row r="316" spans="1:6" ht="24.75" thickBot="1">
      <c r="A316" s="1862" t="s">
        <v>1420</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1108</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1177</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1197</v>
      </c>
      <c r="C328" s="1859">
        <v>0.15</v>
      </c>
      <c r="D328" s="1859">
        <v>0.15</v>
      </c>
      <c r="E328" s="1859">
        <v>0.15</v>
      </c>
      <c r="F328" s="1860">
        <v>0.14099999999999999</v>
      </c>
    </row>
    <row r="329" spans="1:6" ht="14.25" thickBot="1">
      <c r="A329" s="1854" t="s">
        <v>2218</v>
      </c>
      <c r="B329" s="1858" t="s">
        <v>1207</v>
      </c>
      <c r="C329" s="1859">
        <v>0.15</v>
      </c>
      <c r="D329" s="1859">
        <v>0.15</v>
      </c>
      <c r="E329" s="1859">
        <v>0.15</v>
      </c>
      <c r="F329" s="1860">
        <v>0.15</v>
      </c>
    </row>
    <row r="330" spans="1:6" ht="14.25" thickBot="1">
      <c r="A330" s="1854" t="s">
        <v>2218</v>
      </c>
      <c r="B330" s="1858" t="s">
        <v>1217</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1237</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1257</v>
      </c>
      <c r="C334" s="1859">
        <v>0.15</v>
      </c>
      <c r="D334" s="1859">
        <v>0.15</v>
      </c>
      <c r="E334" s="1859">
        <v>0.15</v>
      </c>
      <c r="F334" s="1860">
        <v>0.15</v>
      </c>
    </row>
    <row r="335" spans="1:6" ht="14.25" thickBot="1">
      <c r="A335" s="1854" t="s">
        <v>2218</v>
      </c>
      <c r="B335" s="1858" t="s">
        <v>1267</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1285</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2947</v>
      </c>
      <c r="B1" s="3103"/>
      <c r="C1" s="3103"/>
      <c r="D1" s="3103"/>
      <c r="E1" s="3103"/>
      <c r="F1" s="3103"/>
    </row>
    <row r="2" spans="1:6" ht="14.25">
      <c r="A2" s="3104" t="s">
        <v>2942</v>
      </c>
      <c r="B2" s="3105" t="e">
        <f ca="1">SUMIF(B7:B14,"&lt;&gt;#ref!",B7:B14)</f>
        <v>#DIV/0!</v>
      </c>
      <c r="C2" s="3104" t="s">
        <v>2943</v>
      </c>
      <c r="D2" s="3103"/>
      <c r="E2" s="3103"/>
      <c r="F2" s="3103"/>
    </row>
    <row r="3" spans="1:6" ht="14.25">
      <c r="A3" s="3104" t="s">
        <v>2976</v>
      </c>
      <c r="B3" s="3105" t="e">
        <f ca="1">ROUND(B2*10000/E3,0)</f>
        <v>#DIV/0!</v>
      </c>
      <c r="C3" s="3104" t="s">
        <v>2080</v>
      </c>
      <c r="D3" s="3104" t="s">
        <v>2944</v>
      </c>
      <c r="E3" s="3105">
        <f ca="1">SUMIF(E7:E14,"&lt;&gt;#ref!",E7:E14)</f>
        <v>0</v>
      </c>
      <c r="F3" s="3103"/>
    </row>
    <row r="4" spans="1:6" ht="14.25">
      <c r="A4" s="3104" t="s">
        <v>2951</v>
      </c>
      <c r="B4" s="3105" t="e">
        <f ca="1">ROUND(B2*10000/E4,0)</f>
        <v>#DIV/0!</v>
      </c>
      <c r="C4" s="3104" t="s">
        <v>2080</v>
      </c>
      <c r="D4" s="3104" t="s">
        <v>2952</v>
      </c>
      <c r="E4" s="3105">
        <f ca="1">SUMIF(F7:F14,"&lt;&gt;#ref!",F7:F14)</f>
        <v>0</v>
      </c>
      <c r="F4" s="3103"/>
    </row>
    <row r="5" spans="1:6" ht="14.25">
      <c r="A5" s="3106"/>
      <c r="B5" s="1880"/>
      <c r="C5" s="1880"/>
      <c r="D5" s="1880"/>
      <c r="E5" s="1880"/>
      <c r="F5" s="3103"/>
    </row>
    <row r="6" spans="1:6" ht="28.5">
      <c r="A6" s="3107" t="s">
        <v>2948</v>
      </c>
      <c r="B6" s="3104" t="s">
        <v>2945</v>
      </c>
      <c r="C6" s="3105"/>
      <c r="D6" s="1880"/>
      <c r="E6" s="3104" t="s">
        <v>2946</v>
      </c>
      <c r="F6" s="3104" t="s">
        <v>2950</v>
      </c>
    </row>
    <row r="7" spans="1:6" ht="14.25">
      <c r="A7" s="259" t="s">
        <v>2949</v>
      </c>
      <c r="B7" s="3108" t="e">
        <f ca="1">SUMIF(INDIRECT("'"&amp;A7&amp;"'"&amp;"!A:A"),"总价",INDIRECT("'"&amp;A7&amp;"'"&amp;"!B:B"))</f>
        <v>#DIV/0!</v>
      </c>
      <c r="C7" s="3104" t="s">
        <v>2943</v>
      </c>
      <c r="D7" s="1880"/>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2943</v>
      </c>
      <c r="D8" s="1880"/>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2943</v>
      </c>
      <c r="D9" s="1880"/>
      <c r="E9" s="3109" t="e">
        <f t="shared" ca="1" si="1"/>
        <v>#REF!</v>
      </c>
      <c r="F9" s="3109" t="e">
        <f t="shared" ca="1" si="2"/>
        <v>#REF!</v>
      </c>
    </row>
    <row r="10" spans="1:6" ht="14.25">
      <c r="A10" s="259"/>
      <c r="B10" s="3108" t="e">
        <f t="shared" ca="1" si="0"/>
        <v>#REF!</v>
      </c>
      <c r="C10" s="3104" t="s">
        <v>2943</v>
      </c>
      <c r="D10" s="1880"/>
      <c r="E10" s="3109" t="e">
        <f t="shared" ca="1" si="1"/>
        <v>#REF!</v>
      </c>
      <c r="F10" s="3109" t="e">
        <f t="shared" ca="1" si="2"/>
        <v>#REF!</v>
      </c>
    </row>
    <row r="11" spans="1:6" ht="14.25">
      <c r="A11" s="259"/>
      <c r="B11" s="3108" t="e">
        <f t="shared" ca="1" si="0"/>
        <v>#REF!</v>
      </c>
      <c r="C11" s="3104" t="s">
        <v>2943</v>
      </c>
      <c r="D11" s="1880"/>
      <c r="E11" s="3109" t="e">
        <f t="shared" ca="1" si="1"/>
        <v>#REF!</v>
      </c>
      <c r="F11" s="3109" t="e">
        <f t="shared" ca="1" si="2"/>
        <v>#REF!</v>
      </c>
    </row>
    <row r="12" spans="1:6" ht="14.25">
      <c r="A12" s="259"/>
      <c r="B12" s="3108" t="e">
        <f t="shared" ca="1" si="0"/>
        <v>#REF!</v>
      </c>
      <c r="C12" s="3104" t="s">
        <v>2943</v>
      </c>
      <c r="D12" s="1880"/>
      <c r="E12" s="3109" t="e">
        <f t="shared" ca="1" si="1"/>
        <v>#REF!</v>
      </c>
      <c r="F12" s="3109" t="e">
        <f t="shared" ca="1" si="2"/>
        <v>#REF!</v>
      </c>
    </row>
    <row r="13" spans="1:6" ht="14.25">
      <c r="A13" s="259"/>
      <c r="B13" s="3108" t="e">
        <f t="shared" ca="1" si="0"/>
        <v>#REF!</v>
      </c>
      <c r="C13" s="3104" t="s">
        <v>2943</v>
      </c>
      <c r="D13" s="1880"/>
      <c r="E13" s="3109" t="e">
        <f t="shared" ca="1" si="1"/>
        <v>#REF!</v>
      </c>
      <c r="F13" s="3109" t="e">
        <f t="shared" ca="1" si="2"/>
        <v>#REF!</v>
      </c>
    </row>
    <row r="14" spans="1:6" ht="14.25">
      <c r="A14" s="3102"/>
      <c r="B14" s="3108" t="e">
        <f t="shared" ca="1" si="0"/>
        <v>#REF!</v>
      </c>
      <c r="C14" s="3104" t="s">
        <v>2943</v>
      </c>
      <c r="D14" s="1880"/>
      <c r="E14" s="3109" t="e">
        <f t="shared" ca="1" si="1"/>
        <v>#REF!</v>
      </c>
      <c r="F14" s="3109"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628</v>
      </c>
      <c r="B1" s="737"/>
      <c r="C1" s="772"/>
      <c r="D1" s="2049"/>
      <c r="E1" s="2386" t="s">
        <v>2375</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1687</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2459</v>
      </c>
      <c r="C7" s="52">
        <f ca="1">C8+C12+C14</f>
        <v>0</v>
      </c>
      <c r="D7" s="2495" t="s">
        <v>2462</v>
      </c>
      <c r="E7" s="2489"/>
      <c r="F7" s="2490"/>
      <c r="G7" s="1590"/>
      <c r="H7" s="780">
        <v>1</v>
      </c>
      <c r="I7" s="781" t="s">
        <v>2459</v>
      </c>
      <c r="J7" s="52">
        <f ca="1">J8+J12+J14</f>
        <v>0</v>
      </c>
      <c r="K7" s="2495" t="s">
        <v>2462</v>
      </c>
      <c r="L7" s="2489"/>
      <c r="M7" s="2490"/>
    </row>
    <row r="8" spans="1:25" ht="18" customHeight="1">
      <c r="A8" s="1829" t="s">
        <v>1825</v>
      </c>
      <c r="B8" s="3447" t="s">
        <v>2464</v>
      </c>
      <c r="C8" s="1824">
        <f ca="1">ROUND(F8*F10*F9*(1-F11)/10000,0)</f>
        <v>0</v>
      </c>
      <c r="D8" s="1821" t="s">
        <v>2535</v>
      </c>
      <c r="E8" s="60" t="s">
        <v>637</v>
      </c>
      <c r="F8" s="784">
        <f ca="1">INDIRECT("'数据-取费表'!u"&amp;$G$1)</f>
        <v>0</v>
      </c>
      <c r="G8" s="1590"/>
      <c r="H8" s="2503" t="s">
        <v>1825</v>
      </c>
      <c r="I8" s="3447" t="s">
        <v>2464</v>
      </c>
      <c r="J8" s="782">
        <f ca="1">ROUND(M8*M10*M9*(1-M11)/10000,0)</f>
        <v>0</v>
      </c>
      <c r="K8" s="340" t="s">
        <v>2535</v>
      </c>
      <c r="L8" s="783" t="s">
        <v>1739</v>
      </c>
      <c r="M8" s="784">
        <f ca="1">INDIRECT("'数据-取费表'!z"&amp;$G$1)</f>
        <v>0</v>
      </c>
    </row>
    <row r="9" spans="1:25" ht="18" customHeight="1">
      <c r="A9" s="2499"/>
      <c r="B9" s="3448"/>
      <c r="C9" s="1825"/>
      <c r="D9" s="1822"/>
      <c r="E9" s="60" t="s">
        <v>638</v>
      </c>
      <c r="F9" s="784">
        <f ca="1">IF(INDIRECT("'数据-取费表'!ah"&amp;$G$1)="",INDIRECT("'数据-取费表'!k"&amp;$G$1),INDIRECT("'数据-取费表'!ah"&amp;$G$1))</f>
        <v>0</v>
      </c>
      <c r="G9" s="1590"/>
      <c r="H9" s="2488"/>
      <c r="I9" s="3448"/>
      <c r="J9" s="787"/>
      <c r="K9" s="788"/>
      <c r="L9" s="783" t="s">
        <v>1740</v>
      </c>
      <c r="M9" s="784">
        <f ca="1">F9</f>
        <v>0</v>
      </c>
    </row>
    <row r="10" spans="1:25" ht="18" customHeight="1">
      <c r="A10" s="2492"/>
      <c r="B10" s="3449"/>
      <c r="C10" s="1825"/>
      <c r="D10" s="1822"/>
      <c r="E10" s="60" t="s">
        <v>639</v>
      </c>
      <c r="F10" s="784">
        <f ca="1">INDIRECT("'数据-取费表'!ai"&amp;$G$1)</f>
        <v>0</v>
      </c>
      <c r="G10" s="1590"/>
      <c r="H10" s="2488"/>
      <c r="I10" s="3449"/>
      <c r="J10" s="787"/>
      <c r="K10" s="788"/>
      <c r="L10" s="783" t="s">
        <v>1741</v>
      </c>
      <c r="M10" s="784">
        <f ca="1">INDIRECT("'数据-取费表'!ai"&amp;$G$1)</f>
        <v>0</v>
      </c>
    </row>
    <row r="11" spans="1:25" ht="18" customHeight="1">
      <c r="A11" s="785"/>
      <c r="B11" s="3450"/>
      <c r="C11" s="1825"/>
      <c r="D11" s="1822"/>
      <c r="E11" s="60" t="s">
        <v>640</v>
      </c>
      <c r="F11" s="793">
        <f ca="1">INDIRECT("'数据-取费表'!w"&amp;$G$1)</f>
        <v>0</v>
      </c>
      <c r="G11" s="1590"/>
      <c r="H11" s="2504"/>
      <c r="I11" s="3449"/>
      <c r="J11" s="787"/>
      <c r="K11" s="788"/>
      <c r="L11" s="794" t="s">
        <v>1742</v>
      </c>
      <c r="M11" s="795">
        <f ca="1">INDIRECT("'数据-取费表'!ab"&amp;$G$1)</f>
        <v>0</v>
      </c>
    </row>
    <row r="12" spans="1:25" ht="18" customHeight="1">
      <c r="A12" s="1829" t="s">
        <v>1826</v>
      </c>
      <c r="B12" s="2493" t="s">
        <v>2460</v>
      </c>
      <c r="C12" s="798">
        <f ca="1">ROUND(IF(F12="押一",C8/12*F13,IF(F12="押二",C8/12*2*F13,IF(F12="押三",C8/12*3*F13,C13*F13))),0)</f>
        <v>0</v>
      </c>
      <c r="D12" s="2500" t="s">
        <v>2972</v>
      </c>
      <c r="E12" s="2497" t="s">
        <v>2465</v>
      </c>
      <c r="F12" s="2620"/>
      <c r="G12" s="1590"/>
      <c r="H12" s="2560" t="s">
        <v>1826</v>
      </c>
      <c r="I12" s="2565" t="s">
        <v>2460</v>
      </c>
      <c r="J12" s="782">
        <f ca="1">ROUND(IF(M12="押一",J8/12*M13,IF(M12="押二",J8/12*2*M13,IF(M12="押三",J8/12*3*M13,J13*M13))),0)</f>
        <v>0</v>
      </c>
      <c r="K12" s="2500" t="s">
        <v>2972</v>
      </c>
      <c r="L12" s="2497" t="s">
        <v>2465</v>
      </c>
      <c r="M12" s="2620"/>
    </row>
    <row r="13" spans="1:25" ht="18" customHeight="1">
      <c r="A13" s="789"/>
      <c r="B13" s="2494" t="s">
        <v>2574</v>
      </c>
      <c r="C13" s="2498"/>
      <c r="D13" s="788"/>
      <c r="E13" s="2497" t="s">
        <v>2457</v>
      </c>
      <c r="F13" s="795">
        <f ca="1">'数据-取费表'!B39</f>
        <v>1.4999999999999999E-2</v>
      </c>
      <c r="G13" s="1590"/>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0"/>
      <c r="H14" s="2550" t="s">
        <v>2468</v>
      </c>
      <c r="I14" s="2563" t="s">
        <v>2461</v>
      </c>
      <c r="J14" s="2564"/>
      <c r="K14" s="2539"/>
      <c r="L14" s="2540"/>
      <c r="M14" s="2553"/>
    </row>
    <row r="15" spans="1:25" ht="18" customHeight="1" thickTop="1">
      <c r="A15" s="1828" t="s">
        <v>1875</v>
      </c>
      <c r="B15" s="1826" t="s">
        <v>641</v>
      </c>
      <c r="C15" s="791">
        <f ca="1">ROUND(C31*F15,0)</f>
        <v>0</v>
      </c>
      <c r="D15" s="1833" t="s">
        <v>642</v>
      </c>
      <c r="E15" s="794" t="s">
        <v>643</v>
      </c>
      <c r="F15" s="799">
        <f ca="1">INDIRECT("'数据-取费表'!y"&amp;$G$1)</f>
        <v>0</v>
      </c>
      <c r="G15" s="1590"/>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0"/>
      <c r="H16" s="802" t="s">
        <v>2071</v>
      </c>
      <c r="I16" s="2230" t="s">
        <v>2826</v>
      </c>
      <c r="J16" s="52">
        <f ca="1">C31</f>
        <v>0</v>
      </c>
      <c r="K16" s="25"/>
      <c r="L16" s="800"/>
      <c r="M16" s="801"/>
    </row>
    <row r="17" spans="1:25" s="2063" customFormat="1" ht="18" customHeight="1">
      <c r="A17" s="802" t="s">
        <v>1850</v>
      </c>
      <c r="B17" s="783" t="s">
        <v>647</v>
      </c>
      <c r="C17" s="52">
        <f ca="1">ROUND(C16*F17,0)</f>
        <v>0</v>
      </c>
      <c r="D17" s="805" t="s">
        <v>648</v>
      </c>
      <c r="E17" s="805" t="s">
        <v>649</v>
      </c>
      <c r="F17" s="806">
        <f>'数据-取费表'!B33</f>
        <v>0.03</v>
      </c>
      <c r="G17" s="1591"/>
      <c r="H17" s="802" t="s">
        <v>2072</v>
      </c>
      <c r="I17" s="783" t="s">
        <v>643</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1851</v>
      </c>
      <c r="B18" s="783" t="s">
        <v>650</v>
      </c>
      <c r="C18" s="52">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5" t="s">
        <v>652</v>
      </c>
      <c r="L18" s="1981"/>
      <c r="M18" s="55"/>
    </row>
    <row r="19" spans="1:25" s="2063" customFormat="1" ht="18" customHeight="1">
      <c r="A19" s="802" t="s">
        <v>1852</v>
      </c>
      <c r="B19" s="783" t="s">
        <v>653</v>
      </c>
      <c r="C19" s="52">
        <f ca="1">ROUND(F19*(INDIRECT("'数据-取费表'!k"&amp;$G$1)+INDIRECT("'数据-取费表'!S"&amp;$G$1))/10000,0)</f>
        <v>0</v>
      </c>
      <c r="D19" s="783" t="s">
        <v>654</v>
      </c>
      <c r="E19" s="783" t="s">
        <v>655</v>
      </c>
      <c r="F19" s="55">
        <f>'数据-取费表'!B35</f>
        <v>200</v>
      </c>
      <c r="G19" s="1591"/>
      <c r="H19" s="802" t="s">
        <v>2071</v>
      </c>
      <c r="I19" s="783" t="s">
        <v>656</v>
      </c>
      <c r="J19" s="52">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2">
        <f ca="1">ROUND(C16*F20,0)</f>
        <v>0</v>
      </c>
      <c r="D20" s="783" t="s">
        <v>648</v>
      </c>
      <c r="E20" s="783" t="s">
        <v>649</v>
      </c>
      <c r="F20" s="808">
        <f>'数据-取费表'!B36</f>
        <v>1.4999999999999999E-2</v>
      </c>
      <c r="G20" s="1591"/>
      <c r="H20" s="802" t="s">
        <v>1832</v>
      </c>
      <c r="I20" s="783" t="s">
        <v>660</v>
      </c>
      <c r="J20" s="52">
        <f ca="1">ROUND(J7*M20/1.05,1)</f>
        <v>0</v>
      </c>
      <c r="K20" s="1976" t="s">
        <v>661</v>
      </c>
      <c r="L20" s="783" t="s">
        <v>649</v>
      </c>
      <c r="M20" s="808">
        <f>'数据-取费表'!B41</f>
        <v>5.5000000000000007E-2</v>
      </c>
      <c r="N20" s="2062"/>
      <c r="O20" s="2062"/>
      <c r="P20" s="2062"/>
      <c r="Q20" s="2062"/>
      <c r="R20" s="2062"/>
      <c r="S20" s="2062"/>
      <c r="T20" s="2062"/>
      <c r="U20" s="2062"/>
      <c r="V20" s="2062"/>
      <c r="W20" s="2062"/>
      <c r="X20" s="2062"/>
      <c r="Y20" s="2062"/>
    </row>
    <row r="21" spans="1:25" ht="18" customHeight="1">
      <c r="A21" s="802" t="s">
        <v>1877</v>
      </c>
      <c r="B21" s="783" t="s">
        <v>662</v>
      </c>
      <c r="C21" s="52">
        <f ca="1">SUM(C16:C20)</f>
        <v>0</v>
      </c>
      <c r="D21" s="260" t="s">
        <v>663</v>
      </c>
      <c r="E21" s="1981"/>
      <c r="F21" s="55"/>
      <c r="G21" s="1590"/>
      <c r="H21" s="1829" t="s">
        <v>1850</v>
      </c>
      <c r="I21" s="783" t="s">
        <v>664</v>
      </c>
      <c r="J21" s="52">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2">
        <f ca="1">ROUND(C21*F22,0)</f>
        <v>0</v>
      </c>
      <c r="D22" s="811" t="s">
        <v>667</v>
      </c>
      <c r="E22" s="783" t="s">
        <v>649</v>
      </c>
      <c r="F22" s="808">
        <f>'数据-取费表'!B37</f>
        <v>0.02</v>
      </c>
      <c r="G22" s="1591"/>
      <c r="H22" s="1831" t="s">
        <v>1851</v>
      </c>
      <c r="I22" s="1821" t="s">
        <v>668</v>
      </c>
      <c r="J22" s="53">
        <f ca="1">ROUND(M22*M23/10000,0)</f>
        <v>0</v>
      </c>
      <c r="K22" s="813" t="s">
        <v>669</v>
      </c>
      <c r="L22" s="783" t="s">
        <v>670</v>
      </c>
      <c r="M22" s="639">
        <f>'数据-取费表'!B52</f>
        <v>1.5</v>
      </c>
      <c r="N22" s="2062"/>
      <c r="O22" s="2062"/>
      <c r="P22" s="2062"/>
      <c r="Q22" s="2062"/>
      <c r="R22" s="2062"/>
      <c r="S22" s="2062"/>
      <c r="T22" s="2062"/>
      <c r="U22" s="2062"/>
      <c r="V22" s="2062"/>
      <c r="W22" s="2062"/>
      <c r="X22" s="2062"/>
      <c r="Y22" s="2062"/>
    </row>
    <row r="23" spans="1:25" s="2063" customFormat="1" ht="18" customHeight="1">
      <c r="A23" s="802" t="s">
        <v>1879</v>
      </c>
      <c r="B23" s="783" t="s">
        <v>671</v>
      </c>
      <c r="C23" s="52" t="s">
        <v>1</v>
      </c>
      <c r="D23" s="811" t="s">
        <v>672</v>
      </c>
      <c r="E23" s="783" t="s">
        <v>673</v>
      </c>
      <c r="F23" s="808">
        <f>'数据-取费表'!B38</f>
        <v>0.02</v>
      </c>
      <c r="G23" s="1591"/>
      <c r="H23" s="1832"/>
      <c r="I23" s="1823"/>
      <c r="J23" s="68"/>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2"/>
      <c r="D24" s="2571" t="str">
        <f>IF(F25&lt;=1,"单利计息。","复利计息。")&amp;"建造成本、管理费用、销售费用产生的利息。"</f>
        <v>复利计息。建造成本、管理费用、销售费用产生的利息。</v>
      </c>
      <c r="E24" s="1981"/>
      <c r="F24" s="55"/>
      <c r="G24" s="1590"/>
      <c r="H24" s="1830" t="s">
        <v>2072</v>
      </c>
      <c r="I24" s="783" t="s">
        <v>676</v>
      </c>
      <c r="J24" s="52">
        <f ca="1">ROUND(J16*M24,0)</f>
        <v>0</v>
      </c>
      <c r="K24" s="1976" t="s">
        <v>677</v>
      </c>
      <c r="L24" s="783" t="s">
        <v>649</v>
      </c>
      <c r="M24" s="816">
        <f ca="1">INDIRECT("'数据-取费表'!Ak"&amp;$G$1)</f>
        <v>0</v>
      </c>
    </row>
    <row r="25" spans="1:25" s="2063" customFormat="1" ht="18" customHeight="1">
      <c r="A25" s="802" t="s">
        <v>1876</v>
      </c>
      <c r="B25" s="783" t="s">
        <v>2438</v>
      </c>
      <c r="C25" s="52">
        <f ca="1">ROUND(IF('数据-取费表'!B22&lt;=1,(C21+C22)*F26*F25/2,(C21+C22)*(POWER((1+F26),F25/2)-1)),0)</f>
        <v>0</v>
      </c>
      <c r="D25" s="2570"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2">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2">
        <f ca="1">ROUND(IF('数据-取费表'!B22&lt;=1,F23*F26*F25/2,F23*(POWER((1+F26),F25/2)-1)),4)</f>
        <v>1E-3</v>
      </c>
      <c r="D26" s="2570" t="str">
        <f>IF(F25&lt;=1,"销售费用×利率×(建设周期÷2)","销售费用×((1+利率)^(建设周期÷2)-1)")</f>
        <v>销售费用×((1+利率)^(建设周期÷2)-1)</v>
      </c>
      <c r="E26" s="783" t="s">
        <v>682</v>
      </c>
      <c r="F26" s="818">
        <f ca="1">'数据-取费表'!B40</f>
        <v>4.7500000000000001E-2</v>
      </c>
      <c r="G26" s="1591"/>
      <c r="H26" s="802" t="s">
        <v>1880</v>
      </c>
      <c r="I26" s="783" t="s">
        <v>666</v>
      </c>
      <c r="J26" s="52">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2"/>
      <c r="D27" s="260" t="s">
        <v>685</v>
      </c>
      <c r="E27" s="1981"/>
      <c r="F27" s="55"/>
      <c r="G27" s="1590"/>
      <c r="H27" s="796" t="s">
        <v>1829</v>
      </c>
      <c r="I27" s="3010" t="s">
        <v>2823</v>
      </c>
      <c r="J27" s="798">
        <f ca="1">J7-J18</f>
        <v>0</v>
      </c>
      <c r="K27" s="1978" t="s">
        <v>700</v>
      </c>
      <c r="L27" s="1980"/>
      <c r="M27" s="819"/>
    </row>
    <row r="28" spans="1:25" ht="18" customHeight="1">
      <c r="A28" s="802" t="s">
        <v>1876</v>
      </c>
      <c r="B28" s="783" t="s">
        <v>2439</v>
      </c>
      <c r="C28" s="52">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2">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1883</v>
      </c>
      <c r="B30" s="783" t="s">
        <v>687</v>
      </c>
      <c r="C30" s="52">
        <f>ROUND(F30/(1+'数据-取费表'!C42),4)</f>
        <v>5.2400000000000002E-2</v>
      </c>
      <c r="D30" s="811" t="s">
        <v>709</v>
      </c>
      <c r="E30" s="783" t="s">
        <v>649</v>
      </c>
      <c r="F30" s="808">
        <f>'数据-取费表'!B41</f>
        <v>5.5000000000000007E-2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1"/>
      <c r="H31" s="822" t="s">
        <v>1873</v>
      </c>
      <c r="I31" s="3011"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486"/>
      <c r="F32" s="2490"/>
      <c r="G32" s="2061"/>
      <c r="H32" s="2064"/>
      <c r="I32" s="2065"/>
      <c r="J32" s="2066"/>
      <c r="K32" s="2067"/>
      <c r="L32" s="2068"/>
      <c r="M32" s="2069"/>
    </row>
    <row r="33" spans="1:18" ht="18" customHeight="1">
      <c r="A33" s="802" t="s">
        <v>1877</v>
      </c>
      <c r="B33" s="783" t="s">
        <v>656</v>
      </c>
      <c r="C33" s="52">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2">
        <f ca="1">ROUND(C7*F34/1.05,1)</f>
        <v>0</v>
      </c>
      <c r="D34" s="1976" t="s">
        <v>661</v>
      </c>
      <c r="E34" s="783" t="s">
        <v>649</v>
      </c>
      <c r="F34" s="808">
        <f>'数据-取费表'!B41</f>
        <v>5.5000000000000007E-2</v>
      </c>
      <c r="G34" s="2061"/>
      <c r="H34" s="2070"/>
      <c r="I34" s="2071"/>
      <c r="J34" s="2072"/>
      <c r="K34" s="2073"/>
      <c r="L34" s="2074"/>
      <c r="M34" s="2075"/>
    </row>
    <row r="35" spans="1:18" ht="18" customHeight="1">
      <c r="A35" s="802" t="s">
        <v>1850</v>
      </c>
      <c r="B35" s="783" t="s">
        <v>664</v>
      </c>
      <c r="C35" s="52">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3">
        <f ca="1">ROUND(F36*F37/10000,1)</f>
        <v>0</v>
      </c>
      <c r="D36" s="813" t="s">
        <v>669</v>
      </c>
      <c r="E36" s="783" t="s">
        <v>670</v>
      </c>
      <c r="F36" s="639">
        <f>'数据-取费表'!B52</f>
        <v>1.5</v>
      </c>
      <c r="G36" s="2061"/>
      <c r="H36" s="2064"/>
      <c r="I36" s="3446"/>
      <c r="J36" s="2078"/>
      <c r="K36" s="2079"/>
      <c r="L36" s="2078"/>
      <c r="M36" s="2078"/>
    </row>
    <row r="37" spans="1:18" ht="18" customHeight="1">
      <c r="A37" s="814"/>
      <c r="B37" s="792"/>
      <c r="C37" s="68"/>
      <c r="D37" s="815"/>
      <c r="E37" s="783" t="s">
        <v>674</v>
      </c>
      <c r="F37" s="784">
        <f ca="1">INDIRECT("'数据-取费表'!r"&amp;$G$1)</f>
        <v>0</v>
      </c>
      <c r="G37" s="2061"/>
      <c r="H37" s="2064"/>
      <c r="I37" s="3446"/>
      <c r="J37" s="2076"/>
      <c r="K37" s="2077"/>
      <c r="L37" s="2076"/>
      <c r="M37" s="2076"/>
    </row>
    <row r="38" spans="1:18" ht="18" customHeight="1">
      <c r="A38" s="802" t="s">
        <v>1878</v>
      </c>
      <c r="B38" s="783" t="s">
        <v>676</v>
      </c>
      <c r="C38" s="52">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2">
        <f ca="1">ROUND(C15*F39,1)</f>
        <v>0</v>
      </c>
      <c r="D39" s="1976" t="s">
        <v>680</v>
      </c>
      <c r="E39" s="783" t="s">
        <v>649</v>
      </c>
      <c r="F39" s="817">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4" t="s">
        <v>712</v>
      </c>
      <c r="E43" s="3120" t="s">
        <v>2960</v>
      </c>
      <c r="F43" s="3121">
        <f ca="1">INDIRECT("'数据-取费表'!j"&amp;$G$1)</f>
        <v>0</v>
      </c>
      <c r="G43" s="2061"/>
      <c r="H43" s="2061"/>
      <c r="I43" s="2061"/>
      <c r="J43" s="2061"/>
      <c r="K43" s="2082"/>
      <c r="L43" s="2061"/>
      <c r="M43" s="2061"/>
    </row>
    <row r="44" spans="1:18" ht="18" customHeight="1">
      <c r="A44" s="802" t="s">
        <v>1879</v>
      </c>
      <c r="B44" s="834" t="s">
        <v>713</v>
      </c>
      <c r="C44" s="1355">
        <f ca="1">C42-C43</f>
        <v>0</v>
      </c>
      <c r="D44" s="462" t="s">
        <v>714</v>
      </c>
      <c r="E44" s="463"/>
      <c r="F44" s="464"/>
      <c r="G44" s="2061"/>
      <c r="H44" s="2061"/>
      <c r="I44" s="2061"/>
      <c r="J44" s="2061"/>
      <c r="K44" s="2082"/>
      <c r="L44" s="2061"/>
      <c r="M44" s="2061"/>
    </row>
    <row r="45" spans="1:18" ht="18" customHeight="1">
      <c r="A45" s="802" t="s">
        <v>1880</v>
      </c>
      <c r="B45" s="1354" t="s">
        <v>715</v>
      </c>
      <c r="C45" s="3036">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22" t="s">
        <v>2963</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0"/>
      <c r="Q47" s="1602"/>
      <c r="R47" s="1590"/>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29.25" thickBot="1">
      <c r="A54" s="2095"/>
      <c r="I54" s="3151" t="s">
        <v>2977</v>
      </c>
      <c r="J54" s="3154">
        <f ca="1">IF(M48="住宅",MAX(J52,L49-'数据-取费表'!B20),MIN(J52,L49-'数据-取费表'!B20))</f>
        <v>-2</v>
      </c>
      <c r="K54" s="3451"/>
      <c r="L54" s="3452"/>
      <c r="O54" s="2400" t="s">
        <v>2389</v>
      </c>
      <c r="P54" s="2398" t="s">
        <v>2390</v>
      </c>
      <c r="Q54" s="2399">
        <f ca="1">J54</f>
        <v>-2</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5" thickBot="1">
      <c r="A56" s="2095"/>
      <c r="B56" s="2096"/>
      <c r="C56" s="2096"/>
      <c r="I56" s="3163" t="s">
        <v>2356</v>
      </c>
      <c r="J56" s="3099" t="e">
        <f ca="1">ROUND(IF(J48="钢混",J58/J51,1-(1-2%)*(J51-J58)/J51),3)</f>
        <v>#VALUE!</v>
      </c>
      <c r="K56" s="3164" t="s">
        <v>2357</v>
      </c>
      <c r="L56" s="2385"/>
      <c r="O56" s="2403" t="s">
        <v>2412</v>
      </c>
      <c r="P56" s="1590"/>
      <c r="Q56" s="1602"/>
      <c r="R56" s="1590"/>
    </row>
    <row r="57" spans="1:18" s="2058" customFormat="1" ht="43.5"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29.25"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29.25"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29.25"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5.75"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20.25" thickBot="1">
      <c r="A62" s="2095"/>
      <c r="B62" s="2096"/>
      <c r="C62" s="2096"/>
      <c r="K62" s="2085"/>
      <c r="O62" s="2400" t="s">
        <v>2387</v>
      </c>
      <c r="P62" s="2398" t="s">
        <v>2395</v>
      </c>
      <c r="Q62" s="2399">
        <f ca="1">L59</f>
        <v>0</v>
      </c>
      <c r="R62" s="2402" t="s">
        <v>2396</v>
      </c>
    </row>
    <row r="63" spans="1:18" s="2058" customFormat="1" ht="20.25" thickBot="1">
      <c r="A63" s="2095"/>
      <c r="B63" s="2096"/>
      <c r="C63" s="2096"/>
      <c r="I63" s="3171" t="s">
        <v>2368</v>
      </c>
      <c r="J63" s="3172" t="s">
        <v>2369</v>
      </c>
      <c r="K63" s="3172" t="s">
        <v>2370</v>
      </c>
      <c r="L63" s="3172" t="s">
        <v>2351</v>
      </c>
      <c r="M63" s="3173" t="s">
        <v>2940</v>
      </c>
      <c r="O63" s="2400" t="s">
        <v>2389</v>
      </c>
      <c r="P63" s="2398" t="s">
        <v>2397</v>
      </c>
      <c r="Q63" s="2399">
        <f ca="1">L60</f>
        <v>0</v>
      </c>
      <c r="R63" s="2402" t="s">
        <v>2398</v>
      </c>
    </row>
    <row r="64" spans="1:18" s="2058" customFormat="1" ht="15.75"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5" thickBot="1">
      <c r="A65" s="2095"/>
      <c r="B65" s="2096"/>
      <c r="C65" s="2096"/>
      <c r="I65" s="3171" t="s">
        <v>2372</v>
      </c>
      <c r="J65" s="3172">
        <v>50</v>
      </c>
      <c r="K65" s="3172">
        <v>35</v>
      </c>
      <c r="L65" s="3172">
        <v>60</v>
      </c>
      <c r="M65" s="845">
        <v>0</v>
      </c>
      <c r="O65" s="2403" t="s">
        <v>2416</v>
      </c>
      <c r="P65" s="1590"/>
      <c r="Q65" s="1602"/>
      <c r="R65" s="1590"/>
    </row>
    <row r="66" spans="1:18" s="2058" customFormat="1" ht="15.75"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5.75" thickBot="1">
      <c r="A67" s="2095"/>
      <c r="B67" s="2096"/>
      <c r="C67" s="2096"/>
      <c r="K67" s="2085"/>
      <c r="O67" s="2397" t="s">
        <v>2380</v>
      </c>
      <c r="P67" s="2398" t="s">
        <v>2406</v>
      </c>
      <c r="Q67" s="2399">
        <f ca="1">C41+J31</f>
        <v>0</v>
      </c>
      <c r="R67" s="2398" t="s">
        <v>2381</v>
      </c>
    </row>
    <row r="68" spans="1:18" s="2058" customFormat="1" ht="20.25" thickBot="1">
      <c r="A68" s="2095"/>
      <c r="B68" s="2096"/>
      <c r="C68" s="2096"/>
      <c r="K68" s="2085"/>
      <c r="O68" s="2397" t="s">
        <v>2382</v>
      </c>
      <c r="P68" s="2398" t="s">
        <v>2413</v>
      </c>
      <c r="Q68" s="2399" t="e">
        <f ca="1">L61</f>
        <v>#DIV/0!</v>
      </c>
      <c r="R68" s="2402" t="s">
        <v>2415</v>
      </c>
    </row>
    <row r="69" spans="1:18" s="2058" customFormat="1" ht="21.75" thickBot="1">
      <c r="A69" s="2095"/>
      <c r="B69" s="2096"/>
      <c r="C69" s="2096"/>
      <c r="K69" s="2085"/>
      <c r="O69" s="2400" t="s">
        <v>2384</v>
      </c>
      <c r="P69" s="2398" t="s">
        <v>2414</v>
      </c>
      <c r="Q69" s="2404">
        <f ca="1">L52</f>
        <v>0</v>
      </c>
      <c r="R69" s="2405" t="s">
        <v>2417</v>
      </c>
    </row>
    <row r="70" spans="1:18" s="2058" customFormat="1" ht="20.25" thickBot="1">
      <c r="A70" s="2095"/>
      <c r="B70" s="2096"/>
      <c r="C70" s="2096"/>
      <c r="K70" s="2085"/>
      <c r="O70" s="2400" t="s">
        <v>2385</v>
      </c>
      <c r="P70" s="2406" t="s">
        <v>2399</v>
      </c>
      <c r="Q70" s="2399">
        <f ca="1">ROUND(Q71-Q72*Q73,0)</f>
        <v>0</v>
      </c>
      <c r="R70" s="2402"/>
    </row>
    <row r="71" spans="1:18" s="2058" customFormat="1" ht="15.75" thickBot="1">
      <c r="A71" s="2095"/>
      <c r="B71" s="2096"/>
      <c r="C71" s="2096"/>
      <c r="K71" s="2085"/>
      <c r="O71" s="2400" t="s">
        <v>2400</v>
      </c>
      <c r="P71" s="2406" t="s">
        <v>2401</v>
      </c>
      <c r="Q71" s="2399">
        <f ca="1">C42</f>
        <v>0</v>
      </c>
      <c r="R71" s="2398" t="s">
        <v>2381</v>
      </c>
    </row>
    <row r="72" spans="1:18" s="2058" customFormat="1" ht="15.75" thickBot="1">
      <c r="A72" s="2095"/>
      <c r="B72" s="2096"/>
      <c r="C72" s="2096"/>
      <c r="K72" s="2085"/>
      <c r="O72" s="2400" t="s">
        <v>2402</v>
      </c>
      <c r="P72" s="2406" t="s">
        <v>2403</v>
      </c>
      <c r="Q72" s="2399">
        <f ca="1">C15</f>
        <v>0</v>
      </c>
      <c r="R72" s="2398" t="s">
        <v>2381</v>
      </c>
    </row>
    <row r="73" spans="1:18" s="2058" customFormat="1" ht="15.75" thickBot="1">
      <c r="A73" s="2095"/>
      <c r="B73" s="2096"/>
      <c r="C73" s="2096"/>
      <c r="K73" s="2085"/>
      <c r="O73" s="2400" t="s">
        <v>2404</v>
      </c>
      <c r="P73" s="2406" t="s">
        <v>2405</v>
      </c>
      <c r="Q73" s="2401">
        <f ca="1">F43</f>
        <v>0</v>
      </c>
      <c r="R73" s="2402"/>
    </row>
    <row r="74" spans="1:18" s="2058" customFormat="1" ht="15.75" thickBot="1">
      <c r="A74" s="2095"/>
      <c r="B74" s="2096"/>
      <c r="C74" s="2096"/>
      <c r="K74" s="2085"/>
      <c r="O74" s="2400" t="s">
        <v>2387</v>
      </c>
      <c r="P74" s="2398" t="s">
        <v>2394</v>
      </c>
      <c r="Q74" s="2401">
        <f>L53</f>
        <v>0</v>
      </c>
      <c r="R74" s="2402"/>
    </row>
    <row r="75" spans="1:18" s="2058" customFormat="1" ht="20.25" thickBot="1">
      <c r="A75" s="2095"/>
      <c r="B75" s="2096"/>
      <c r="C75" s="2096"/>
      <c r="K75" s="2085"/>
      <c r="O75" s="2400" t="s">
        <v>2389</v>
      </c>
      <c r="P75" s="2398" t="s">
        <v>2395</v>
      </c>
      <c r="Q75" s="2399">
        <f ca="1">L59</f>
        <v>0</v>
      </c>
      <c r="R75" s="2402" t="s">
        <v>2396</v>
      </c>
    </row>
    <row r="76" spans="1:18" s="2058" customFormat="1" ht="20.25" thickBot="1">
      <c r="A76" s="2095"/>
      <c r="B76" s="2096"/>
      <c r="C76" s="2096"/>
      <c r="K76" s="2085"/>
      <c r="O76" s="2400" t="s">
        <v>2418</v>
      </c>
      <c r="P76" s="2398" t="s">
        <v>2397</v>
      </c>
      <c r="Q76" s="2399">
        <f ca="1">L60</f>
        <v>0</v>
      </c>
      <c r="R76" s="2402" t="s">
        <v>2398</v>
      </c>
    </row>
    <row r="77" spans="1:18" s="2058" customFormat="1" ht="15.75"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北京捷宸阳光科技发展有限公司：</v>
      </c>
    </row>
    <row r="4" spans="1:4" ht="37.5">
      <c r="A4" s="1790" t="str">
        <f>"受贵公司委托，我公司对"&amp;项目基本情况!K2&amp;项目基本情况!B9&amp;"进行了预评估。"</f>
        <v>受贵公司委托，我公司对北京市北京市通州区马驹桥镇金桥科技产业基地共2宗住宅用地出让国有建设用地使用权市场价格进行了预评估。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捷宸阳光科技发展有限公司使用的、位于北京市北京市通州区马驹桥镇金桥科技产业基地共2宗住宅用地出让国有建设用地使用权。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2018年8月2日（评估专业人员勘察现场之日）</v>
      </c>
    </row>
    <row r="12" spans="1:4" ht="18.75">
      <c r="A12" s="1796" t="s">
        <v>2027</v>
      </c>
    </row>
    <row r="13" spans="1:4" ht="18.75">
      <c r="A13" s="1790" t="s">
        <v>2939</v>
      </c>
    </row>
    <row r="14" spans="1:4" ht="37.5">
      <c r="A14" s="1790" t="str">
        <f>"根据"&amp;项目基本情况!F12&amp;"，本次评估估价对象证载（地类）用途为"&amp;项目基本情况!B12&amp;"。"</f>
        <v>根据《国有土地使用证》[]，本次评估估价对象证载（地类）用途为住宅用地。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本次评估设定用途即为证载用途住宅用地。</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21" spans="1:1" ht="18.75">
      <c r="A21" s="1790" t="s">
        <v>2076</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本次估价对象为出让国有建设用地使用权，《国有土地使用证》[]证载土地终止日期为住宅2078年8月19日、商业2048年8月19日地下车库2058年8月19日。截至估价期日，出让国有建设用地使用权剩余土地使用年限为。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55" t="s">
        <v>2577</v>
      </c>
      <c r="C1" s="3455"/>
      <c r="D1" s="3455"/>
      <c r="E1" s="3455"/>
      <c r="F1" s="3455"/>
      <c r="G1" s="3454" t="s">
        <v>2578</v>
      </c>
      <c r="H1" s="3454"/>
      <c r="I1" s="3454"/>
      <c r="J1" s="3454"/>
      <c r="K1" s="3454"/>
      <c r="L1" s="3454"/>
      <c r="N1" s="3454" t="s">
        <v>2579</v>
      </c>
      <c r="O1" s="3454"/>
      <c r="P1" s="3454"/>
      <c r="Q1" s="3454"/>
      <c r="R1" s="2653"/>
      <c r="S1" s="3454" t="s">
        <v>2580</v>
      </c>
      <c r="T1" s="3454"/>
      <c r="U1" s="3454"/>
      <c r="V1" s="3454"/>
      <c r="X1" s="3453" t="s">
        <v>2640</v>
      </c>
      <c r="Y1" s="3454"/>
      <c r="Z1" s="3454"/>
      <c r="AA1" s="3454"/>
      <c r="AB1" s="3454"/>
      <c r="AD1" s="3453" t="s">
        <v>2644</v>
      </c>
      <c r="AE1" s="3454"/>
      <c r="AF1" s="3454"/>
      <c r="AG1" s="3454"/>
      <c r="AH1" s="3454"/>
    </row>
    <row r="2" spans="1:34" s="2755" customFormat="1" ht="14.25" thickBot="1">
      <c r="B2" s="2763" t="s">
        <v>2581</v>
      </c>
      <c r="C2" s="2763" t="s">
        <v>2642</v>
      </c>
      <c r="D2" s="2756" t="s">
        <v>1645</v>
      </c>
      <c r="E2" s="2756" t="s">
        <v>1952</v>
      </c>
      <c r="F2" s="2763" t="s">
        <v>2643</v>
      </c>
      <c r="G2" s="2759"/>
      <c r="H2" s="2758"/>
      <c r="I2" s="2763" t="s">
        <v>2954</v>
      </c>
      <c r="J2" s="2756" t="s">
        <v>2956</v>
      </c>
      <c r="K2" s="2756" t="s">
        <v>2957</v>
      </c>
      <c r="L2" s="2763" t="s">
        <v>2958</v>
      </c>
      <c r="N2" s="2763" t="s">
        <v>2581</v>
      </c>
      <c r="O2" s="2756" t="s">
        <v>2955</v>
      </c>
      <c r="P2" s="2756" t="s">
        <v>1952</v>
      </c>
      <c r="Q2" s="2763" t="s">
        <v>2643</v>
      </c>
      <c r="R2" s="2757"/>
      <c r="S2" s="2763" t="s">
        <v>2581</v>
      </c>
      <c r="T2" s="2756" t="s">
        <v>2955</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25">
      <c r="A3" s="3144" t="s">
        <v>2967</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2978</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2">
        <v>3</v>
      </c>
      <c r="I5" s="3126">
        <v>1.49</v>
      </c>
      <c r="J5" s="3126">
        <v>0.96</v>
      </c>
      <c r="K5" s="3126">
        <v>1.58</v>
      </c>
      <c r="L5" s="3126">
        <v>2.44</v>
      </c>
      <c r="N5" s="2761">
        <f t="shared" ref="N5" si="6">I5/100</f>
        <v>1.49E-2</v>
      </c>
      <c r="O5" s="2761">
        <f t="shared" ref="O5" si="7">J5/100</f>
        <v>9.5999999999999992E-3</v>
      </c>
      <c r="P5" s="2761">
        <f t="shared" ref="P5" si="8">K5/100</f>
        <v>1.5800000000000002E-2</v>
      </c>
      <c r="Q5" s="2761">
        <f t="shared" ref="Q5" si="9">L5/100</f>
        <v>2.4399999999999998E-2</v>
      </c>
      <c r="R5" s="3114"/>
      <c r="S5" s="3115"/>
      <c r="T5" s="3114"/>
      <c r="U5" s="3114"/>
      <c r="V5" s="3114"/>
      <c r="W5" s="3142" t="s">
        <v>2968</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0" customFormat="1" ht="13.5" thickBot="1">
      <c r="A6" s="2654" t="s">
        <v>2979</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1"/>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2974</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1"/>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2965</v>
      </c>
      <c r="B8" s="3146">
        <v>439</v>
      </c>
      <c r="C8" s="3146">
        <v>327</v>
      </c>
      <c r="D8" s="3146">
        <f t="shared" si="23"/>
        <v>327</v>
      </c>
      <c r="E8" s="3146">
        <v>627</v>
      </c>
      <c r="F8" s="3147">
        <v>283</v>
      </c>
      <c r="G8" s="3129">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2969</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1"/>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2582</v>
      </c>
      <c r="B10" s="2668">
        <f t="shared" si="35"/>
        <v>419.31181600000002</v>
      </c>
      <c r="C10" s="2668">
        <f t="shared" si="35"/>
        <v>313.95436800000004</v>
      </c>
      <c r="D10" s="2668">
        <f t="shared" si="23"/>
        <v>313.95436800000004</v>
      </c>
      <c r="E10" s="2668">
        <f t="shared" si="36"/>
        <v>596.63028431999999</v>
      </c>
      <c r="F10" s="2668">
        <f t="shared" si="36"/>
        <v>274.74220703999998</v>
      </c>
      <c r="G10" s="3130"/>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2583</v>
      </c>
      <c r="B11" s="2668">
        <f t="shared" si="35"/>
        <v>405.524</v>
      </c>
      <c r="C11" s="2668">
        <f t="shared" si="35"/>
        <v>307.79840000000002</v>
      </c>
      <c r="D11" s="2668">
        <f t="shared" si="23"/>
        <v>307.79840000000002</v>
      </c>
      <c r="E11" s="2668">
        <f t="shared" si="36"/>
        <v>574.67759999999998</v>
      </c>
      <c r="F11" s="2668">
        <f t="shared" si="36"/>
        <v>270.20280000000002</v>
      </c>
      <c r="G11" s="3131"/>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62">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57"/>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57"/>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58"/>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56">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57"/>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57"/>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58"/>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56">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57"/>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57"/>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58"/>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2641</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2584</v>
      </c>
      <c r="B24" s="2660">
        <v>299</v>
      </c>
      <c r="C24" s="2660">
        <v>252</v>
      </c>
      <c r="D24" s="2660">
        <f t="shared" si="45"/>
        <v>252</v>
      </c>
      <c r="E24" s="2660">
        <v>409</v>
      </c>
      <c r="F24" s="2661">
        <v>227</v>
      </c>
      <c r="G24" s="3459">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2585</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60"/>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2586</v>
      </c>
      <c r="B26" s="2668">
        <f t="shared" si="54"/>
        <v>288.2649053828776</v>
      </c>
      <c r="C26" s="2668">
        <f t="shared" si="54"/>
        <v>243.64564425013293</v>
      </c>
      <c r="D26" s="2668">
        <f t="shared" si="45"/>
        <v>243.64564425013293</v>
      </c>
      <c r="E26" s="2668">
        <f t="shared" si="55"/>
        <v>393.31080825986544</v>
      </c>
      <c r="F26" s="2668">
        <f t="shared" si="55"/>
        <v>223.07903790551154</v>
      </c>
      <c r="G26" s="3460"/>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2587</v>
      </c>
      <c r="B27" s="2668">
        <f t="shared" si="54"/>
        <v>282.50186729015837</v>
      </c>
      <c r="C27" s="2668">
        <f t="shared" si="54"/>
        <v>238.09796174155468</v>
      </c>
      <c r="D27" s="2668">
        <f t="shared" si="45"/>
        <v>238.09796174155468</v>
      </c>
      <c r="E27" s="2668">
        <f t="shared" si="55"/>
        <v>385.33438646014054</v>
      </c>
      <c r="F27" s="2668">
        <f t="shared" si="55"/>
        <v>221.55034055567739</v>
      </c>
      <c r="G27" s="3461"/>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2588</v>
      </c>
      <c r="B28" s="2698">
        <v>278</v>
      </c>
      <c r="C28" s="2698">
        <v>234</v>
      </c>
      <c r="D28" s="2698">
        <f t="shared" si="45"/>
        <v>234</v>
      </c>
      <c r="E28" s="2698">
        <v>379</v>
      </c>
      <c r="F28" s="2699">
        <v>220</v>
      </c>
      <c r="G28" s="3456">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2589</v>
      </c>
      <c r="B29" s="2668">
        <f>B28/(1+N28)</f>
        <v>275.49301357645425</v>
      </c>
      <c r="C29" s="2668">
        <f>C28/(1+O28)</f>
        <v>232.41954707985698</v>
      </c>
      <c r="D29" s="2668">
        <f t="shared" si="45"/>
        <v>232.41954707985698</v>
      </c>
      <c r="E29" s="2668">
        <f t="shared" ref="E29:F31" si="56">E28/(1+P28)</f>
        <v>375.32184591008121</v>
      </c>
      <c r="F29" s="2668">
        <f t="shared" si="56"/>
        <v>218.03766105054513</v>
      </c>
      <c r="G29" s="3457"/>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2590</v>
      </c>
      <c r="B30" s="2668">
        <f>B29/(1+N29)</f>
        <v>275.24529281292263</v>
      </c>
      <c r="C30" s="2668">
        <f>C29/(1+O29)</f>
        <v>231.74747938962707</v>
      </c>
      <c r="D30" s="2668">
        <f t="shared" si="45"/>
        <v>231.74747938962707</v>
      </c>
      <c r="E30" s="2668">
        <f t="shared" si="56"/>
        <v>375.35938184826603</v>
      </c>
      <c r="F30" s="2668">
        <f t="shared" si="56"/>
        <v>216.78033510692495</v>
      </c>
      <c r="G30" s="3457"/>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2591</v>
      </c>
      <c r="B31" s="2668">
        <f>B30/(1+N30)</f>
        <v>275.19025476197027</v>
      </c>
      <c r="C31" s="2700">
        <v>232</v>
      </c>
      <c r="D31" s="2700">
        <f t="shared" si="45"/>
        <v>232</v>
      </c>
      <c r="E31" s="2668">
        <f t="shared" si="56"/>
        <v>375.65990977608692</v>
      </c>
      <c r="F31" s="2668">
        <f t="shared" si="56"/>
        <v>214.12518283971252</v>
      </c>
      <c r="G31" s="3458"/>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2592</v>
      </c>
      <c r="B32" s="2660">
        <v>275</v>
      </c>
      <c r="C32" s="2660">
        <v>232</v>
      </c>
      <c r="D32" s="2660">
        <f t="shared" si="45"/>
        <v>232</v>
      </c>
      <c r="E32" s="2660">
        <v>376</v>
      </c>
      <c r="F32" s="2661">
        <v>213</v>
      </c>
      <c r="G32" s="3456">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2593</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57">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2594</v>
      </c>
      <c r="B34" s="2668">
        <f t="shared" si="57"/>
        <v>275.19335084830601</v>
      </c>
      <c r="C34" s="2668">
        <f t="shared" si="57"/>
        <v>230.18088050139744</v>
      </c>
      <c r="D34" s="2668">
        <f t="shared" si="45"/>
        <v>230.18088050139744</v>
      </c>
      <c r="E34" s="2668">
        <f t="shared" si="58"/>
        <v>377.58482925212331</v>
      </c>
      <c r="F34" s="2668">
        <f t="shared" si="58"/>
        <v>210.90687997847917</v>
      </c>
      <c r="G34" s="3457">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2595</v>
      </c>
      <c r="B35" s="2668">
        <f t="shared" si="57"/>
        <v>276.29854502841971</v>
      </c>
      <c r="C35" s="2668">
        <f t="shared" si="57"/>
        <v>229.79023709833027</v>
      </c>
      <c r="D35" s="2668">
        <f t="shared" si="45"/>
        <v>229.79023709833027</v>
      </c>
      <c r="E35" s="2668">
        <f t="shared" si="58"/>
        <v>379.78759731655936</v>
      </c>
      <c r="F35" s="2668">
        <f t="shared" si="58"/>
        <v>211.32953905659235</v>
      </c>
      <c r="G35" s="3458">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2596</v>
      </c>
      <c r="B36" s="2660">
        <v>269</v>
      </c>
      <c r="C36" s="2660">
        <v>221</v>
      </c>
      <c r="D36" s="2660">
        <f t="shared" si="45"/>
        <v>221</v>
      </c>
      <c r="E36" s="2660">
        <v>373</v>
      </c>
      <c r="F36" s="2661">
        <v>196</v>
      </c>
      <c r="G36" s="3456">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2597</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57">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2598</v>
      </c>
      <c r="B38" s="2668">
        <f t="shared" si="59"/>
        <v>242.95398227588385</v>
      </c>
      <c r="C38" s="2668">
        <f t="shared" si="59"/>
        <v>199.59137053614126</v>
      </c>
      <c r="D38" s="2668">
        <f t="shared" si="45"/>
        <v>199.59137053614126</v>
      </c>
      <c r="E38" s="2668">
        <f t="shared" si="60"/>
        <v>335.92189522342125</v>
      </c>
      <c r="F38" s="2668">
        <f t="shared" si="60"/>
        <v>183.10139991109489</v>
      </c>
      <c r="G38" s="3457">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2599</v>
      </c>
      <c r="B39" s="2668">
        <f t="shared" si="59"/>
        <v>232.06990378821649</v>
      </c>
      <c r="C39" s="2668">
        <f t="shared" si="59"/>
        <v>192.74878854286936</v>
      </c>
      <c r="D39" s="2668">
        <f t="shared" si="45"/>
        <v>192.74878854286936</v>
      </c>
      <c r="E39" s="2668">
        <f t="shared" si="60"/>
        <v>319.71247284992984</v>
      </c>
      <c r="F39" s="2668">
        <f t="shared" si="60"/>
        <v>175.67053622862409</v>
      </c>
      <c r="G39" s="3458">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2600</v>
      </c>
      <c r="B40" s="2660">
        <v>220</v>
      </c>
      <c r="C40" s="2660">
        <v>187</v>
      </c>
      <c r="D40" s="2660">
        <f t="shared" si="45"/>
        <v>187</v>
      </c>
      <c r="E40" s="2660">
        <v>301</v>
      </c>
      <c r="F40" s="2661">
        <v>168</v>
      </c>
      <c r="G40" s="3456">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2601</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57">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2602</v>
      </c>
      <c r="B42" s="2668">
        <f t="shared" si="61"/>
        <v>210.630522469011</v>
      </c>
      <c r="C42" s="2668">
        <f t="shared" si="61"/>
        <v>181.69567812247232</v>
      </c>
      <c r="D42" s="2668">
        <f t="shared" si="45"/>
        <v>181.69567812247232</v>
      </c>
      <c r="E42" s="2668">
        <f t="shared" si="62"/>
        <v>286.13517466736738</v>
      </c>
      <c r="F42" s="2668">
        <f t="shared" si="62"/>
        <v>165.47535084591149</v>
      </c>
      <c r="G42" s="3457">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2603</v>
      </c>
      <c r="B43" s="2668">
        <f t="shared" si="61"/>
        <v>208.83454537875372</v>
      </c>
      <c r="C43" s="2668">
        <f t="shared" si="61"/>
        <v>183.77230517090351</v>
      </c>
      <c r="D43" s="2668">
        <f t="shared" si="45"/>
        <v>183.77230517090351</v>
      </c>
      <c r="E43" s="2668">
        <f t="shared" si="62"/>
        <v>281.10342338870947</v>
      </c>
      <c r="F43" s="2668">
        <f t="shared" si="62"/>
        <v>168.97309388942256</v>
      </c>
      <c r="G43" s="3458">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2604</v>
      </c>
      <c r="B44" s="2698">
        <v>214</v>
      </c>
      <c r="C44" s="2698">
        <v>188</v>
      </c>
      <c r="D44" s="2698">
        <f t="shared" si="45"/>
        <v>188</v>
      </c>
      <c r="E44" s="2698">
        <v>289</v>
      </c>
      <c r="F44" s="2699">
        <v>166</v>
      </c>
      <c r="G44" s="3456">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2605</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57">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2606</v>
      </c>
      <c r="B46" s="2668">
        <f t="shared" si="63"/>
        <v>206.31694671589116</v>
      </c>
      <c r="C46" s="2668">
        <f t="shared" si="63"/>
        <v>183.61041121036101</v>
      </c>
      <c r="D46" s="2668">
        <f t="shared" si="45"/>
        <v>183.61041121036101</v>
      </c>
      <c r="E46" s="2668">
        <f t="shared" si="64"/>
        <v>276.66850301795557</v>
      </c>
      <c r="F46" s="2668">
        <f t="shared" si="64"/>
        <v>165.1360938278614</v>
      </c>
      <c r="G46" s="3457">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2607</v>
      </c>
      <c r="B47" s="2701">
        <f t="shared" si="63"/>
        <v>196.62341248059772</v>
      </c>
      <c r="C47" s="2701">
        <f t="shared" si="63"/>
        <v>170.99125648199012</v>
      </c>
      <c r="D47" s="2701">
        <f t="shared" si="45"/>
        <v>170.99125648199012</v>
      </c>
      <c r="E47" s="2701">
        <f t="shared" si="64"/>
        <v>266.07857570490052</v>
      </c>
      <c r="F47" s="2701">
        <f t="shared" si="64"/>
        <v>154.53499328828505</v>
      </c>
      <c r="G47" s="3458">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2608</v>
      </c>
      <c r="B48" s="2660">
        <v>188</v>
      </c>
      <c r="C48" s="2660">
        <v>165</v>
      </c>
      <c r="D48" s="2660">
        <f t="shared" si="45"/>
        <v>165</v>
      </c>
      <c r="E48" s="2660">
        <v>254</v>
      </c>
      <c r="F48" s="2661">
        <v>148</v>
      </c>
      <c r="G48" s="3456">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2609</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57">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2610</v>
      </c>
      <c r="B50" s="2668">
        <f t="shared" si="67"/>
        <v>168.82017748715555</v>
      </c>
      <c r="C50" s="2668">
        <f t="shared" si="67"/>
        <v>148.06267029972753</v>
      </c>
      <c r="D50" s="2668">
        <f t="shared" si="45"/>
        <v>148.06267029972753</v>
      </c>
      <c r="E50" s="2668">
        <f t="shared" si="68"/>
        <v>216.46288379323747</v>
      </c>
      <c r="F50" s="2668">
        <f t="shared" si="68"/>
        <v>134.23529411764704</v>
      </c>
      <c r="G50" s="3457">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2611</v>
      </c>
      <c r="B51" s="2668">
        <f t="shared" si="67"/>
        <v>163.84913591779542</v>
      </c>
      <c r="C51" s="2668">
        <f t="shared" si="67"/>
        <v>145.0283378746594</v>
      </c>
      <c r="D51" s="2668">
        <f t="shared" si="45"/>
        <v>145.0283378746594</v>
      </c>
      <c r="E51" s="2668">
        <f t="shared" si="68"/>
        <v>204.95180722891567</v>
      </c>
      <c r="F51" s="2668">
        <f t="shared" si="68"/>
        <v>125.95920303605313</v>
      </c>
      <c r="G51" s="3458">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2612</v>
      </c>
      <c r="B52" s="2682">
        <v>159</v>
      </c>
      <c r="C52" s="2682">
        <v>141</v>
      </c>
      <c r="D52" s="2682">
        <f t="shared" si="45"/>
        <v>141</v>
      </c>
      <c r="E52" s="2682">
        <v>195</v>
      </c>
      <c r="F52" s="2683">
        <v>122</v>
      </c>
      <c r="G52" s="3456">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2613</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57">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2614</v>
      </c>
      <c r="B54" s="2668">
        <f t="shared" si="71"/>
        <v>146.57412060301507</v>
      </c>
      <c r="C54" s="2668">
        <f t="shared" si="71"/>
        <v>136.46831955922866</v>
      </c>
      <c r="D54" s="2668">
        <f t="shared" si="45"/>
        <v>136.46831955922866</v>
      </c>
      <c r="E54" s="2668">
        <f t="shared" si="72"/>
        <v>166.73864894795128</v>
      </c>
      <c r="F54" s="2668">
        <f t="shared" si="72"/>
        <v>115.05882352941177</v>
      </c>
      <c r="G54" s="3457">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2615</v>
      </c>
      <c r="B55" s="2668">
        <f t="shared" si="71"/>
        <v>144.04145728643215</v>
      </c>
      <c r="C55" s="2668">
        <f t="shared" si="71"/>
        <v>136.12396694214877</v>
      </c>
      <c r="D55" s="2668">
        <f t="shared" si="45"/>
        <v>136.12396694214877</v>
      </c>
      <c r="E55" s="2668">
        <f t="shared" si="72"/>
        <v>158.32225913621264</v>
      </c>
      <c r="F55" s="2668">
        <f t="shared" si="72"/>
        <v>114.04278074866311</v>
      </c>
      <c r="G55" s="3458">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2616</v>
      </c>
      <c r="B56" s="2682">
        <v>138</v>
      </c>
      <c r="C56" s="2682">
        <v>131</v>
      </c>
      <c r="D56" s="2682">
        <f t="shared" si="45"/>
        <v>131</v>
      </c>
      <c r="E56" s="2682">
        <v>155</v>
      </c>
      <c r="F56" s="2683">
        <v>114</v>
      </c>
      <c r="G56" s="3456">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2617</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57">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2618</v>
      </c>
      <c r="B58" s="2668">
        <f t="shared" si="75"/>
        <v>124.29032258064517</v>
      </c>
      <c r="C58" s="2668">
        <f t="shared" si="75"/>
        <v>123.8968609865471</v>
      </c>
      <c r="D58" s="2668">
        <f t="shared" si="45"/>
        <v>123.8968609865471</v>
      </c>
      <c r="E58" s="2668">
        <f t="shared" si="76"/>
        <v>138.00507614213197</v>
      </c>
      <c r="F58" s="2668">
        <f t="shared" si="76"/>
        <v>107.96106557377048</v>
      </c>
      <c r="G58" s="3457">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2619</v>
      </c>
      <c r="B59" s="2668">
        <f t="shared" si="75"/>
        <v>122.57204301075269</v>
      </c>
      <c r="C59" s="2668">
        <f t="shared" si="75"/>
        <v>123.4932735426009</v>
      </c>
      <c r="D59" s="2668">
        <f t="shared" si="45"/>
        <v>123.4932735426009</v>
      </c>
      <c r="E59" s="2668">
        <f t="shared" si="76"/>
        <v>129.82233502538071</v>
      </c>
      <c r="F59" s="2668">
        <f t="shared" si="76"/>
        <v>107.39446721311475</v>
      </c>
      <c r="G59" s="3458">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2620</v>
      </c>
      <c r="B60" s="2698">
        <v>121</v>
      </c>
      <c r="C60" s="2698">
        <v>122</v>
      </c>
      <c r="D60" s="2698">
        <f t="shared" si="45"/>
        <v>122</v>
      </c>
      <c r="E60" s="2698">
        <v>124</v>
      </c>
      <c r="F60" s="2699">
        <v>107</v>
      </c>
      <c r="G60" s="3456">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2621</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57">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2622</v>
      </c>
      <c r="B62" s="2668">
        <f t="shared" si="79"/>
        <v>116.99099099099099</v>
      </c>
      <c r="C62" s="2668">
        <f t="shared" si="79"/>
        <v>118.84848484848486</v>
      </c>
      <c r="D62" s="2668">
        <f t="shared" si="45"/>
        <v>118.84848484848486</v>
      </c>
      <c r="E62" s="2668">
        <f t="shared" si="80"/>
        <v>117.60960960960961</v>
      </c>
      <c r="F62" s="2668">
        <f t="shared" si="80"/>
        <v>104</v>
      </c>
      <c r="G62" s="3457">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2623</v>
      </c>
      <c r="B63" s="2701">
        <f t="shared" si="79"/>
        <v>112.48648648648648</v>
      </c>
      <c r="C63" s="2701">
        <f t="shared" si="79"/>
        <v>115.21212121212122</v>
      </c>
      <c r="D63" s="2701">
        <f t="shared" si="45"/>
        <v>115.21212121212122</v>
      </c>
      <c r="E63" s="2701">
        <f t="shared" si="80"/>
        <v>110.4024024024024</v>
      </c>
      <c r="F63" s="2701">
        <f t="shared" si="80"/>
        <v>104</v>
      </c>
      <c r="G63" s="3458">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2624</v>
      </c>
      <c r="B64" s="2719">
        <v>111</v>
      </c>
      <c r="C64" s="2719">
        <v>114</v>
      </c>
      <c r="D64" s="2719">
        <f t="shared" si="45"/>
        <v>114</v>
      </c>
      <c r="E64" s="2719">
        <v>108</v>
      </c>
      <c r="F64" s="2720">
        <v>104</v>
      </c>
      <c r="G64" s="3456">
        <v>2003</v>
      </c>
      <c r="H64" s="2709">
        <v>4</v>
      </c>
      <c r="I64" s="2721"/>
      <c r="J64" s="2721"/>
      <c r="K64" s="2721"/>
      <c r="L64" s="2721"/>
      <c r="N64" s="2722"/>
      <c r="O64" s="2721"/>
      <c r="P64" s="2721"/>
      <c r="Q64" s="2721"/>
      <c r="S64" s="2722"/>
      <c r="T64" s="2721"/>
      <c r="U64" s="2721"/>
      <c r="V64" s="2721"/>
      <c r="X64" s="2713"/>
      <c r="Y64" s="2713"/>
      <c r="Z64" s="2713"/>
    </row>
    <row r="65" spans="1:26">
      <c r="A65" s="2654" t="s">
        <v>2625</v>
      </c>
      <c r="B65" s="2723">
        <f t="shared" ref="B65:C67" si="81">B66+(B$64-B$68)/4</f>
        <v>109.75</v>
      </c>
      <c r="C65" s="2723">
        <f t="shared" si="81"/>
        <v>112.25</v>
      </c>
      <c r="D65" s="2723">
        <f t="shared" si="45"/>
        <v>112.25</v>
      </c>
      <c r="E65" s="2723">
        <f t="shared" ref="E65:F67" si="82">E66+(E$64-E$68)/4</f>
        <v>107.25</v>
      </c>
      <c r="F65" s="2723">
        <f t="shared" si="82"/>
        <v>103.5</v>
      </c>
      <c r="G65" s="3457">
        <v>2003</v>
      </c>
      <c r="H65" s="2679">
        <v>3</v>
      </c>
      <c r="I65" s="2721"/>
      <c r="J65" s="2721"/>
      <c r="K65" s="2721"/>
      <c r="L65" s="2721"/>
      <c r="X65" s="2713"/>
      <c r="Y65" s="2713"/>
      <c r="Z65" s="2713"/>
    </row>
    <row r="66" spans="1:26">
      <c r="A66" s="2654" t="s">
        <v>2626</v>
      </c>
      <c r="B66" s="2723">
        <f t="shared" si="81"/>
        <v>108.5</v>
      </c>
      <c r="C66" s="2723">
        <f t="shared" si="81"/>
        <v>110.5</v>
      </c>
      <c r="D66" s="2723">
        <f t="shared" si="45"/>
        <v>110.5</v>
      </c>
      <c r="E66" s="2723">
        <f t="shared" si="82"/>
        <v>106.5</v>
      </c>
      <c r="F66" s="2723">
        <f t="shared" si="82"/>
        <v>103</v>
      </c>
      <c r="G66" s="3457">
        <v>2003</v>
      </c>
      <c r="H66" s="2659">
        <v>2</v>
      </c>
      <c r="I66" s="2721"/>
      <c r="J66" s="2721"/>
      <c r="K66" s="2721"/>
      <c r="L66" s="2721"/>
      <c r="X66" s="2713"/>
      <c r="Y66" s="2713"/>
      <c r="Z66" s="2713"/>
    </row>
    <row r="67" spans="1:26" ht="13.5" thickBot="1">
      <c r="A67" s="2654" t="s">
        <v>2627</v>
      </c>
      <c r="B67" s="2723">
        <f t="shared" si="81"/>
        <v>107.25</v>
      </c>
      <c r="C67" s="2723">
        <f t="shared" si="81"/>
        <v>108.75</v>
      </c>
      <c r="D67" s="2723">
        <f t="shared" si="45"/>
        <v>108.75</v>
      </c>
      <c r="E67" s="2723">
        <f t="shared" si="82"/>
        <v>105.75</v>
      </c>
      <c r="F67" s="2723">
        <f t="shared" si="82"/>
        <v>102.5</v>
      </c>
      <c r="G67" s="3458">
        <v>2003</v>
      </c>
      <c r="H67" s="2724">
        <v>1</v>
      </c>
      <c r="I67" s="2721"/>
      <c r="J67" s="2721"/>
      <c r="K67" s="2721"/>
      <c r="L67" s="2721"/>
      <c r="S67" s="2663"/>
      <c r="T67" s="2664"/>
      <c r="U67" s="2664"/>
      <c r="X67" s="2713"/>
      <c r="Y67" s="2713"/>
      <c r="Z67" s="2713"/>
    </row>
    <row r="68" spans="1:26" ht="13.5" thickBot="1">
      <c r="A68" s="2654" t="s">
        <v>2628</v>
      </c>
      <c r="B68" s="2725">
        <v>106</v>
      </c>
      <c r="C68" s="2725">
        <v>107</v>
      </c>
      <c r="D68" s="2725">
        <f t="shared" si="45"/>
        <v>107</v>
      </c>
      <c r="E68" s="2725">
        <v>105</v>
      </c>
      <c r="F68" s="2726">
        <v>102</v>
      </c>
      <c r="G68" s="3456">
        <v>2002</v>
      </c>
      <c r="H68" s="2674">
        <v>4</v>
      </c>
      <c r="I68" s="2721"/>
      <c r="J68" s="2721"/>
      <c r="K68" s="2721"/>
      <c r="L68" s="2721"/>
      <c r="N68" s="2722"/>
      <c r="O68" s="2721"/>
      <c r="P68" s="2721"/>
      <c r="Q68" s="2721"/>
      <c r="S68" s="2722"/>
      <c r="T68" s="2721"/>
      <c r="U68" s="2721"/>
      <c r="V68" s="2721"/>
      <c r="X68" s="2713"/>
      <c r="Y68" s="2713"/>
      <c r="Z68" s="2713"/>
    </row>
    <row r="69" spans="1:26">
      <c r="A69" s="2654" t="s">
        <v>2629</v>
      </c>
      <c r="B69" s="2723">
        <f t="shared" ref="B69:C71" si="83">B70+(B$68-B$72)/4</f>
        <v>105</v>
      </c>
      <c r="C69" s="2723">
        <f t="shared" si="83"/>
        <v>106</v>
      </c>
      <c r="D69" s="2723">
        <f t="shared" si="45"/>
        <v>106</v>
      </c>
      <c r="E69" s="2723">
        <f t="shared" ref="E69:F71" si="84">E70+(E$68-E$72)/4</f>
        <v>104.5</v>
      </c>
      <c r="F69" s="2723">
        <f t="shared" si="84"/>
        <v>101.5</v>
      </c>
      <c r="G69" s="3457">
        <v>2002</v>
      </c>
      <c r="H69" s="2679">
        <v>3</v>
      </c>
      <c r="I69" s="2721"/>
      <c r="J69" s="2721"/>
      <c r="K69" s="2721"/>
      <c r="L69" s="2721"/>
      <c r="X69" s="2713"/>
      <c r="Y69" s="2713"/>
      <c r="Z69" s="2713"/>
    </row>
    <row r="70" spans="1:26">
      <c r="A70" s="2654" t="s">
        <v>2630</v>
      </c>
      <c r="B70" s="2723">
        <f t="shared" si="83"/>
        <v>104</v>
      </c>
      <c r="C70" s="2723">
        <f t="shared" si="83"/>
        <v>105</v>
      </c>
      <c r="D70" s="2723">
        <f t="shared" si="45"/>
        <v>105</v>
      </c>
      <c r="E70" s="2723">
        <f t="shared" si="84"/>
        <v>104</v>
      </c>
      <c r="F70" s="2723">
        <f t="shared" si="84"/>
        <v>101</v>
      </c>
      <c r="G70" s="3457">
        <v>2002</v>
      </c>
      <c r="H70" s="2659">
        <v>2</v>
      </c>
      <c r="I70" s="2721"/>
      <c r="J70" s="2721"/>
      <c r="K70" s="2721"/>
      <c r="L70" s="2721"/>
      <c r="X70" s="2713"/>
      <c r="Y70" s="2713"/>
      <c r="Z70" s="2713"/>
    </row>
    <row r="71" spans="1:26" s="2690" customFormat="1" ht="13.5" thickBot="1">
      <c r="A71" s="2686" t="s">
        <v>2631</v>
      </c>
      <c r="B71" s="2727">
        <f t="shared" si="83"/>
        <v>103</v>
      </c>
      <c r="C71" s="2727">
        <f t="shared" si="83"/>
        <v>104</v>
      </c>
      <c r="D71" s="2727">
        <f t="shared" si="45"/>
        <v>104</v>
      </c>
      <c r="E71" s="2727">
        <f t="shared" si="84"/>
        <v>103.5</v>
      </c>
      <c r="F71" s="2727">
        <f t="shared" si="84"/>
        <v>100.5</v>
      </c>
      <c r="G71" s="3458">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2632</v>
      </c>
      <c r="G74" s="2737"/>
      <c r="N74" s="2737"/>
      <c r="S74" s="2737"/>
    </row>
    <row r="75" spans="1:26" s="2736" customFormat="1">
      <c r="A75" s="2736" t="s">
        <v>2633</v>
      </c>
      <c r="G75" s="2737"/>
      <c r="N75" s="2737"/>
      <c r="S75" s="2737"/>
    </row>
    <row r="76" spans="1:26" s="2736" customFormat="1">
      <c r="A76" s="2736" t="s">
        <v>2634</v>
      </c>
      <c r="G76" s="2737"/>
      <c r="I76" s="2738"/>
      <c r="J76" s="2738"/>
      <c r="K76" s="2738"/>
      <c r="L76" s="2738"/>
      <c r="N76" s="2739"/>
      <c r="O76" s="2738"/>
      <c r="P76" s="2738"/>
      <c r="Q76" s="2738"/>
      <c r="S76" s="2739"/>
      <c r="T76" s="2738"/>
      <c r="U76" s="2738"/>
      <c r="V76" s="2738"/>
    </row>
    <row r="77" spans="1:26" s="2736" customFormat="1">
      <c r="A77" s="2736" t="s">
        <v>2635</v>
      </c>
      <c r="G77" s="2737"/>
      <c r="N77" s="2737"/>
      <c r="S77" s="2737"/>
    </row>
    <row r="84" spans="7:22" ht="13.5" thickBot="1"/>
    <row r="85" spans="7:22">
      <c r="G85" s="2662"/>
      <c r="S85" s="2740" t="s">
        <v>2636</v>
      </c>
      <c r="T85" s="2741" t="s">
        <v>2637</v>
      </c>
      <c r="U85" s="2741" t="s">
        <v>2638</v>
      </c>
      <c r="V85" s="2741" t="s">
        <v>2639</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G33" sqref="G3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3189</v>
      </c>
      <c r="D1" s="3123" t="s">
        <v>952</v>
      </c>
      <c r="E1" s="2386" t="s">
        <v>2375</v>
      </c>
      <c r="F1" s="2387">
        <f ca="1">J53</f>
        <v>30.06</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18461</v>
      </c>
      <c r="C2" s="2056"/>
      <c r="D2" s="2054"/>
      <c r="E2" s="2055"/>
      <c r="F2" s="2055"/>
      <c r="G2" s="1588"/>
      <c r="H2" s="2056"/>
      <c r="I2" s="2056"/>
      <c r="J2" s="2056"/>
      <c r="K2" s="2057"/>
      <c r="L2" s="2056"/>
      <c r="M2" s="2056"/>
    </row>
    <row r="3" spans="1:33" ht="18" customHeight="1" thickBot="1">
      <c r="A3" s="832" t="s">
        <v>1728</v>
      </c>
      <c r="B3" s="833">
        <f ca="1">IF(ISERROR(B2*10000/F43),0,ROUND(B2*10000/F43,0))</f>
        <v>17173</v>
      </c>
      <c r="C3" s="2056"/>
      <c r="D3" s="2054"/>
      <c r="E3" s="2055"/>
      <c r="F3" s="2055"/>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4">
        <f ca="1">C6+C10+C12</f>
        <v>1238</v>
      </c>
      <c r="D5" s="2495" t="s">
        <v>2462</v>
      </c>
      <c r="E5" s="2489"/>
      <c r="F5" s="2490"/>
      <c r="G5" s="1590"/>
      <c r="H5" s="780">
        <v>1</v>
      </c>
      <c r="I5" s="781" t="s">
        <v>2459</v>
      </c>
      <c r="J5" s="54">
        <f ca="1">J6+J10+J12</f>
        <v>0</v>
      </c>
      <c r="K5" s="2495" t="s">
        <v>2462</v>
      </c>
      <c r="L5" s="2489"/>
      <c r="M5" s="2490"/>
    </row>
    <row r="6" spans="1:33" ht="18" customHeight="1">
      <c r="A6" s="1829" t="s">
        <v>1825</v>
      </c>
      <c r="B6" s="3447" t="s">
        <v>2464</v>
      </c>
      <c r="C6" s="782">
        <f ca="1">ROUND(F6*F8*F7*(1-F9)/10000,0)</f>
        <v>1236</v>
      </c>
      <c r="D6" s="2496" t="s">
        <v>2463</v>
      </c>
      <c r="E6" s="783" t="s">
        <v>1739</v>
      </c>
      <c r="F6" s="784">
        <f ca="1">INDIRECT("'数据-取费表'!u"&amp;$G$1)</f>
        <v>3.5</v>
      </c>
      <c r="G6" s="1590"/>
      <c r="H6" s="2503" t="s">
        <v>2469</v>
      </c>
      <c r="I6" s="3447" t="s">
        <v>2464</v>
      </c>
      <c r="J6" s="782">
        <f ca="1">ROUND(M6*M8*M7*(1-M9)/10000,0)</f>
        <v>0</v>
      </c>
      <c r="K6" s="340" t="s">
        <v>1738</v>
      </c>
      <c r="L6" s="783" t="s">
        <v>1739</v>
      </c>
      <c r="M6" s="784">
        <f ca="1">INDIRECT("'数据-取费表'!z"&amp;$G$1)</f>
        <v>0</v>
      </c>
    </row>
    <row r="7" spans="1:33" ht="18" customHeight="1">
      <c r="A7" s="2499"/>
      <c r="B7" s="3448"/>
      <c r="C7" s="787"/>
      <c r="D7" s="788"/>
      <c r="E7" s="783" t="s">
        <v>1740</v>
      </c>
      <c r="F7" s="784">
        <f ca="1">IF(INDIRECT("'数据-取费表'!ah"&amp;$G$1)="",INDIRECT("'数据-取费表'!k"&amp;$G$1),INDIRECT("'数据-取费表'!ah"&amp;$G$1))</f>
        <v>10750</v>
      </c>
      <c r="G7" s="1590"/>
      <c r="H7" s="2488"/>
      <c r="I7" s="3448"/>
      <c r="J7" s="787"/>
      <c r="K7" s="788"/>
      <c r="L7" s="783" t="s">
        <v>1740</v>
      </c>
      <c r="M7" s="784">
        <f ca="1">F7</f>
        <v>10750</v>
      </c>
    </row>
    <row r="8" spans="1:33" ht="18" customHeight="1">
      <c r="A8" s="2492"/>
      <c r="B8" s="3449"/>
      <c r="C8" s="787"/>
      <c r="D8" s="788"/>
      <c r="E8" s="783" t="s">
        <v>1741</v>
      </c>
      <c r="F8" s="784">
        <f ca="1">INDIRECT("'数据-取费表'!ai"&amp;$G$1)</f>
        <v>365</v>
      </c>
      <c r="G8" s="1590"/>
      <c r="H8" s="2488"/>
      <c r="I8" s="3449"/>
      <c r="J8" s="787"/>
      <c r="K8" s="788"/>
      <c r="L8" s="783" t="s">
        <v>1741</v>
      </c>
      <c r="M8" s="784">
        <f ca="1">INDIRECT("'数据-取费表'!ai"&amp;$G$1)</f>
        <v>365</v>
      </c>
    </row>
    <row r="9" spans="1:33" ht="18" customHeight="1">
      <c r="A9" s="785"/>
      <c r="B9" s="3450"/>
      <c r="C9" s="787"/>
      <c r="D9" s="788"/>
      <c r="E9" s="783" t="s">
        <v>1742</v>
      </c>
      <c r="F9" s="793">
        <f ca="1">INDIRECT("'数据-取费表'!w"&amp;$G$1)</f>
        <v>0.1</v>
      </c>
      <c r="G9" s="1590"/>
      <c r="H9" s="2504"/>
      <c r="I9" s="3449"/>
      <c r="J9" s="787"/>
      <c r="K9" s="788"/>
      <c r="L9" s="794" t="s">
        <v>1742</v>
      </c>
      <c r="M9" s="795">
        <f ca="1">INDIRECT("'数据-取费表'!ab"&amp;$G$1)</f>
        <v>0</v>
      </c>
    </row>
    <row r="10" spans="1:33" ht="18" customHeight="1">
      <c r="A10" s="1829" t="s">
        <v>2467</v>
      </c>
      <c r="B10" s="2493" t="s">
        <v>2460</v>
      </c>
      <c r="C10" s="798">
        <f ca="1">ROUND(IF(F10="押一",C6/12*F11,IF(F10="押二",C6/12*2*F11,IF(F10="押三",C6/12*3*F11,C11*F11))),0)</f>
        <v>2</v>
      </c>
      <c r="D10" s="2500" t="s">
        <v>2972</v>
      </c>
      <c r="E10" s="2497" t="s">
        <v>2465</v>
      </c>
      <c r="F10" s="2620" t="s">
        <v>3247</v>
      </c>
      <c r="G10" s="1590"/>
      <c r="H10" s="2560" t="s">
        <v>2470</v>
      </c>
      <c r="I10" s="2565" t="s">
        <v>2460</v>
      </c>
      <c r="J10" s="782">
        <f ca="1">ROUND(IF(M10="押一",J6/12*M11,IF(M10="押二",J6/12*2*M11,IF(M10="押三",J6/12*3*M11,J11*M11))),0)</f>
        <v>0</v>
      </c>
      <c r="K10" s="2500" t="s">
        <v>2972</v>
      </c>
      <c r="L10" s="2497" t="s">
        <v>2465</v>
      </c>
      <c r="M10" s="2620"/>
    </row>
    <row r="11" spans="1:33" ht="18" customHeight="1">
      <c r="A11" s="789"/>
      <c r="B11" s="2494" t="s">
        <v>2574</v>
      </c>
      <c r="C11" s="2498"/>
      <c r="D11" s="788"/>
      <c r="E11" s="2497" t="s">
        <v>2466</v>
      </c>
      <c r="F11" s="795">
        <f ca="1">'数据-取费表'!B39</f>
        <v>1.4999999999999999E-2</v>
      </c>
      <c r="G11" s="1590"/>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0"/>
      <c r="H12" s="2550" t="s">
        <v>2471</v>
      </c>
      <c r="I12" s="2563" t="s">
        <v>2461</v>
      </c>
      <c r="J12" s="2564"/>
      <c r="K12" s="2539"/>
      <c r="L12" s="2540"/>
      <c r="M12" s="2553"/>
    </row>
    <row r="13" spans="1:33" ht="18" customHeight="1" thickTop="1">
      <c r="A13" s="1828">
        <v>2</v>
      </c>
      <c r="B13" s="1826" t="s">
        <v>1743</v>
      </c>
      <c r="C13" s="791">
        <f ca="1">ROUND(C29*F13,0)</f>
        <v>4670</v>
      </c>
      <c r="D13" s="1833" t="s">
        <v>2299</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3" t="s">
        <v>645</v>
      </c>
      <c r="C14" s="803">
        <f ca="1">INDIRECT("'数据-取费表'!m"&amp;$G$1)+INDIRECT("'数据-取费表'!t"&amp;$G$1)</f>
        <v>3519</v>
      </c>
      <c r="D14" s="1978" t="s">
        <v>1746</v>
      </c>
      <c r="E14" s="1979"/>
      <c r="F14" s="804"/>
      <c r="G14" s="1590"/>
      <c r="H14" s="1647" t="s">
        <v>1831</v>
      </c>
      <c r="I14" s="2230" t="s">
        <v>2827</v>
      </c>
      <c r="J14" s="52">
        <f ca="1">C29</f>
        <v>4670</v>
      </c>
      <c r="K14" s="25"/>
      <c r="L14" s="800"/>
      <c r="M14" s="801"/>
    </row>
    <row r="15" spans="1:33" s="2063" customFormat="1" ht="18" customHeight="1" thickBot="1">
      <c r="A15" s="1646" t="s">
        <v>1886</v>
      </c>
      <c r="B15" s="783" t="s">
        <v>647</v>
      </c>
      <c r="C15" s="52">
        <f ca="1">ROUND(C14*F15,0)</f>
        <v>106</v>
      </c>
      <c r="D15" s="805" t="s">
        <v>1747</v>
      </c>
      <c r="E15" s="805" t="s">
        <v>1748</v>
      </c>
      <c r="F15" s="806">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3" t="s">
        <v>650</v>
      </c>
      <c r="C16" s="52">
        <f ca="1">ROUND(INDIRECT("'数据-取费表'!m"&amp;$G$1)*F16,0)</f>
        <v>0</v>
      </c>
      <c r="D16" s="783" t="s">
        <v>1747</v>
      </c>
      <c r="E16" s="783" t="s">
        <v>1748</v>
      </c>
      <c r="F16" s="808">
        <f ca="1">IF(INDIRECT("'数据-取费表'!c"&amp;$G$1)="住宅",'数据-取费表'!B34,0)</f>
        <v>0</v>
      </c>
      <c r="G16" s="1590"/>
      <c r="H16" s="1828" t="s">
        <v>1749</v>
      </c>
      <c r="I16" s="1826" t="s">
        <v>1750</v>
      </c>
      <c r="J16" s="791">
        <f ca="1">ROUND(J17+J22+J23+J24,0)</f>
        <v>440</v>
      </c>
      <c r="K16" s="1820" t="s">
        <v>1751</v>
      </c>
      <c r="L16" s="2485"/>
      <c r="M16" s="2490"/>
    </row>
    <row r="17" spans="1:33" s="2063" customFormat="1" ht="18" customHeight="1">
      <c r="A17" s="1646" t="s">
        <v>1888</v>
      </c>
      <c r="B17" s="783" t="s">
        <v>653</v>
      </c>
      <c r="C17" s="52">
        <f ca="1">ROUND(F17*(F43+INDIRECT("'数据-取费表'!S"&amp;$G$1))/10000,0)</f>
        <v>256</v>
      </c>
      <c r="D17" s="783" t="s">
        <v>1752</v>
      </c>
      <c r="E17" s="783" t="s">
        <v>1753</v>
      </c>
      <c r="F17" s="55">
        <f>'数据-取费表'!B35</f>
        <v>200</v>
      </c>
      <c r="G17" s="1591"/>
      <c r="H17" s="1647" t="s">
        <v>1831</v>
      </c>
      <c r="I17" s="783" t="s">
        <v>656</v>
      </c>
      <c r="J17" s="52">
        <f ca="1">ROUND(IF(项目基本情况!B11="自然人",J5*M17,J18+J19+J20),0)</f>
        <v>393</v>
      </c>
      <c r="K17" s="2484" t="s">
        <v>1754</v>
      </c>
      <c r="L17" s="2483" t="s">
        <v>1755</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3" t="s">
        <v>659</v>
      </c>
      <c r="C18" s="52">
        <f ca="1">ROUND(C14*F18,0)</f>
        <v>53</v>
      </c>
      <c r="D18" s="783" t="s">
        <v>1747</v>
      </c>
      <c r="E18" s="783" t="s">
        <v>1748</v>
      </c>
      <c r="F18" s="808">
        <f>'数据-取费表'!B36</f>
        <v>1.4999999999999999E-2</v>
      </c>
      <c r="G18" s="1591"/>
      <c r="H18" s="1646" t="s">
        <v>1885</v>
      </c>
      <c r="I18" s="783" t="s">
        <v>1756</v>
      </c>
      <c r="J18" s="52">
        <f ca="1">ROUND(J5*M18/1.05,1)</f>
        <v>0</v>
      </c>
      <c r="K18" s="2483" t="s">
        <v>1757</v>
      </c>
      <c r="L18" s="783" t="s">
        <v>1748</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3" t="s">
        <v>662</v>
      </c>
      <c r="C19" s="52">
        <f ca="1">SUM(C14:C18)</f>
        <v>3934</v>
      </c>
      <c r="D19" s="260" t="s">
        <v>1758</v>
      </c>
      <c r="E19" s="1981"/>
      <c r="F19" s="55"/>
      <c r="G19" s="1590"/>
      <c r="H19" s="1646" t="s">
        <v>1886</v>
      </c>
      <c r="I19" s="783" t="s">
        <v>1759</v>
      </c>
      <c r="J19" s="52">
        <f ca="1">IF(K19="按租金收入计税",ROUND(J5*M19,1),ROUND(C29*F33*0.7,1))</f>
        <v>392.3</v>
      </c>
      <c r="K19" s="810" t="s">
        <v>665</v>
      </c>
      <c r="L19" s="783" t="s">
        <v>1748</v>
      </c>
      <c r="M19" s="808">
        <f>IF(K19="按租金收入计税",'数据-取费表'!B51,'数据-取费表'!B50)</f>
        <v>1.2E-2</v>
      </c>
    </row>
    <row r="20" spans="1:33" s="2063" customFormat="1" ht="18" customHeight="1">
      <c r="A20" s="1647" t="s">
        <v>1890</v>
      </c>
      <c r="B20" s="783" t="s">
        <v>666</v>
      </c>
      <c r="C20" s="52">
        <f ca="1">ROUND(C19*F20,0)</f>
        <v>79</v>
      </c>
      <c r="D20" s="811" t="s">
        <v>1760</v>
      </c>
      <c r="E20" s="783" t="s">
        <v>1748</v>
      </c>
      <c r="F20" s="808">
        <f>'数据-取费表'!B37</f>
        <v>0.02</v>
      </c>
      <c r="G20" s="1591"/>
      <c r="H20" s="1649" t="s">
        <v>1881</v>
      </c>
      <c r="I20" s="340" t="s">
        <v>1761</v>
      </c>
      <c r="J20" s="53">
        <f ca="1">ROUND(M20*M21/10000,0)</f>
        <v>1</v>
      </c>
      <c r="K20" s="813" t="s">
        <v>1762</v>
      </c>
      <c r="L20" s="783" t="s">
        <v>1763</v>
      </c>
      <c r="M20" s="639">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3" t="s">
        <v>1764</v>
      </c>
      <c r="C21" s="52" t="s">
        <v>1765</v>
      </c>
      <c r="D21" s="811" t="s">
        <v>2300</v>
      </c>
      <c r="E21" s="783" t="s">
        <v>1766</v>
      </c>
      <c r="F21" s="808">
        <f>'数据-取费表'!B38</f>
        <v>0.02</v>
      </c>
      <c r="G21" s="1591"/>
      <c r="H21" s="2505"/>
      <c r="I21" s="792"/>
      <c r="J21" s="68"/>
      <c r="K21" s="815"/>
      <c r="L21" s="783" t="s">
        <v>1767</v>
      </c>
      <c r="M21" s="784">
        <f ca="1">INDIRECT("'数据-取费表'!r"&amp;$G$1)</f>
        <v>4035.38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3" t="s">
        <v>1768</v>
      </c>
      <c r="C22" s="52"/>
      <c r="D22" s="2571" t="str">
        <f>IF(F23&lt;=1,"单利计息。","复利计息。")&amp;"建造成本、管理费用、销售费用产生的利息。"</f>
        <v>复利计息。建造成本、管理费用、销售费用产生的利息。</v>
      </c>
      <c r="E22" s="1981"/>
      <c r="F22" s="55"/>
      <c r="G22" s="1590"/>
      <c r="H22" s="1647" t="s">
        <v>1890</v>
      </c>
      <c r="I22" s="783" t="s">
        <v>1769</v>
      </c>
      <c r="J22" s="52">
        <f ca="1">ROUND(J14*M22,0)</f>
        <v>47</v>
      </c>
      <c r="K22" s="2483" t="s">
        <v>1770</v>
      </c>
      <c r="L22" s="783" t="s">
        <v>1748</v>
      </c>
      <c r="M22" s="816">
        <f ca="1">INDIRECT("'数据-取费表'!Ak"&amp;$G$1)</f>
        <v>0.01</v>
      </c>
    </row>
    <row r="23" spans="1:33" s="2063" customFormat="1" ht="18" customHeight="1">
      <c r="A23" s="1646" t="s">
        <v>1832</v>
      </c>
      <c r="B23" s="783" t="s">
        <v>2536</v>
      </c>
      <c r="C23" s="52">
        <f ca="1">ROUND(IF('数据-取费表'!B22&lt;=1,(C19+C20)*F24*F23/2,(C19+C20)*(POWER((1+F24),F23/2)-1)),0)</f>
        <v>191</v>
      </c>
      <c r="D23" s="2570"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2">
        <f ca="1">ROUND(J13*M23,0)</f>
        <v>0</v>
      </c>
      <c r="K23" s="2483" t="s">
        <v>1772</v>
      </c>
      <c r="L23" s="783" t="s">
        <v>1748</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3" t="s">
        <v>1773</v>
      </c>
      <c r="C24" s="52">
        <f ca="1">ROUND(IF('数据-取费表'!B22&lt;=1,F21*F24*F23/2,F21*(POWER((1+F24),F23/2)-1)),4)</f>
        <v>1E-3</v>
      </c>
      <c r="D24" s="2570" t="str">
        <f>IF(F23&lt;=1,"销售费用×利率×(建设周期÷2)","销售费用×((1+利率)^(建设周期÷2)-1)")</f>
        <v>销售费用×((1+利率)^(建设周期÷2)-1)</v>
      </c>
      <c r="E24" s="783" t="s">
        <v>1774</v>
      </c>
      <c r="F24" s="818">
        <f ca="1">'数据-取费表'!B40</f>
        <v>4.7500000000000001E-2</v>
      </c>
      <c r="G24" s="1591"/>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3" t="s">
        <v>684</v>
      </c>
      <c r="C25" s="52"/>
      <c r="D25" s="260" t="s">
        <v>1776</v>
      </c>
      <c r="E25" s="1981"/>
      <c r="F25" s="55"/>
      <c r="G25" s="1590"/>
      <c r="H25" s="1828" t="s">
        <v>1777</v>
      </c>
      <c r="I25" s="3009" t="s">
        <v>2823</v>
      </c>
      <c r="J25" s="791">
        <f ca="1">J5-J16</f>
        <v>-440</v>
      </c>
      <c r="K25" s="2547" t="s">
        <v>1778</v>
      </c>
      <c r="L25" s="2548"/>
      <c r="M25" s="2549"/>
    </row>
    <row r="26" spans="1:33" ht="18" customHeight="1">
      <c r="A26" s="1646" t="s">
        <v>1832</v>
      </c>
      <c r="B26" s="783" t="s">
        <v>2439</v>
      </c>
      <c r="C26" s="52">
        <f ca="1">ROUND((C19+C20)*F26,0)</f>
        <v>120</v>
      </c>
      <c r="D26" s="811" t="s">
        <v>1779</v>
      </c>
      <c r="E26" s="794" t="s">
        <v>1780</v>
      </c>
      <c r="F26" s="793">
        <f ca="1">INDIRECT("'数据-取费表'!q"&amp;$G$1)</f>
        <v>0.03</v>
      </c>
      <c r="G26" s="1590"/>
      <c r="H26" s="2501" t="s">
        <v>1781</v>
      </c>
      <c r="I26" s="2231" t="s">
        <v>2828</v>
      </c>
      <c r="J26" s="782">
        <f ca="1">IF(J5&lt;&gt;0,ROUND(J25*(1-((1+M28)/(1+M26))^M27)/(M26-M28),0),0)</f>
        <v>0</v>
      </c>
      <c r="K26" s="813" t="s">
        <v>1782</v>
      </c>
      <c r="L26" s="783" t="s">
        <v>2420</v>
      </c>
      <c r="M26" s="793">
        <f ca="1">INDIRECT("'数据-取费表'!I"&amp;$G$1)</f>
        <v>0.06</v>
      </c>
    </row>
    <row r="27" spans="1:33" ht="18" customHeight="1">
      <c r="A27" s="1646" t="s">
        <v>1833</v>
      </c>
      <c r="B27" s="783" t="s">
        <v>686</v>
      </c>
      <c r="C27" s="52">
        <f ca="1">ROUND(F21*F26,4)</f>
        <v>5.9999999999999995E-4</v>
      </c>
      <c r="D27" s="811" t="s">
        <v>1783</v>
      </c>
      <c r="E27" s="805"/>
      <c r="F27" s="806"/>
      <c r="G27" s="1590"/>
      <c r="H27" s="2502"/>
      <c r="I27" s="786"/>
      <c r="J27" s="787"/>
      <c r="K27" s="820" t="s">
        <v>1784</v>
      </c>
      <c r="L27" s="783" t="s">
        <v>1785</v>
      </c>
      <c r="M27" s="821">
        <f ca="1">INDIRECT("'数据-取费表'!ag"&amp;$G$1)</f>
        <v>0</v>
      </c>
    </row>
    <row r="28" spans="1:33" s="2063" customFormat="1" ht="18" customHeight="1">
      <c r="A28" s="1648" t="s">
        <v>1842</v>
      </c>
      <c r="B28" s="783" t="s">
        <v>687</v>
      </c>
      <c r="C28" s="52">
        <f>ROUND(F28/(1+'数据-取费表'!C42),4)</f>
        <v>5.2400000000000002E-2</v>
      </c>
      <c r="D28" s="811" t="s">
        <v>2301</v>
      </c>
      <c r="E28" s="783" t="s">
        <v>1786</v>
      </c>
      <c r="F28" s="808">
        <f>'数据-取费表'!B41</f>
        <v>5.5000000000000007E-2</v>
      </c>
      <c r="G28" s="1591"/>
      <c r="H28" s="1828"/>
      <c r="I28" s="790"/>
      <c r="J28" s="791"/>
      <c r="K28" s="815"/>
      <c r="L28" s="783" t="s">
        <v>1787</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4670</v>
      </c>
      <c r="D29" s="2544"/>
      <c r="E29" s="2545"/>
      <c r="F29" s="2546"/>
      <c r="G29" s="1591"/>
      <c r="H29" s="822" t="s">
        <v>1788</v>
      </c>
      <c r="I29" s="823" t="s">
        <v>1789</v>
      </c>
      <c r="J29" s="824">
        <f ca="1">ROUND(J26/(1+F40)^F41,0)</f>
        <v>0</v>
      </c>
      <c r="K29" s="825" t="s">
        <v>1790</v>
      </c>
      <c r="L29" s="826"/>
      <c r="M29" s="827">
        <f ca="1">INDIRECT("'数据-取费表'!k"&amp;$G$1)</f>
        <v>10750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280</v>
      </c>
      <c r="D30" s="1820" t="s">
        <v>1792</v>
      </c>
      <c r="E30" s="2485"/>
      <c r="F30" s="2490"/>
      <c r="G30" s="2061"/>
      <c r="H30" s="2064"/>
      <c r="I30" s="2065"/>
      <c r="J30" s="2066"/>
      <c r="K30" s="2067"/>
      <c r="L30" s="2068"/>
      <c r="M30" s="2069"/>
    </row>
    <row r="31" spans="1:33" ht="18" customHeight="1">
      <c r="A31" s="1647" t="s">
        <v>1831</v>
      </c>
      <c r="B31" s="783" t="s">
        <v>656</v>
      </c>
      <c r="C31" s="52">
        <f ca="1">ROUND(IF(项目基本情况!B11="自然人",C5*F31,C32+C33+C34),1)</f>
        <v>214</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3" t="s">
        <v>1795</v>
      </c>
      <c r="C32" s="52">
        <f ca="1">ROUND(C5*F32/1.05,1)</f>
        <v>64.8</v>
      </c>
      <c r="D32" s="1976" t="s">
        <v>1796</v>
      </c>
      <c r="E32" s="783" t="s">
        <v>1797</v>
      </c>
      <c r="F32" s="808">
        <f>'数据-取费表'!B41</f>
        <v>5.5000000000000007E-2</v>
      </c>
      <c r="G32" s="2061"/>
      <c r="H32" s="2070"/>
      <c r="I32" s="2071"/>
      <c r="J32" s="2072"/>
      <c r="K32" s="2073"/>
      <c r="L32" s="2074"/>
      <c r="M32" s="2075"/>
    </row>
    <row r="33" spans="1:18" ht="18" customHeight="1">
      <c r="A33" s="1646" t="s">
        <v>1833</v>
      </c>
      <c r="B33" s="783" t="s">
        <v>1798</v>
      </c>
      <c r="C33" s="52">
        <f ca="1">IF(D33="按租金收入计税",ROUND(C5*F33,1),IF(D33="按房产原值计税",ROUND(C29*F33*0.7,1),INDIRECT("'数据-取费表'!Aj"&amp;$G$1)))</f>
        <v>148.6</v>
      </c>
      <c r="D33" s="810" t="s">
        <v>3228</v>
      </c>
      <c r="E33" s="783" t="s">
        <v>1797</v>
      </c>
      <c r="F33" s="808">
        <f>IF(D33="按租金收入计税",'数据-取费表'!B51,'数据-取费表'!B50)</f>
        <v>0.12</v>
      </c>
      <c r="G33" s="2061"/>
      <c r="H33" s="2076"/>
      <c r="I33" s="2076"/>
      <c r="J33" s="2076"/>
      <c r="K33" s="2077"/>
      <c r="L33" s="2076"/>
      <c r="M33" s="2076"/>
    </row>
    <row r="34" spans="1:18" ht="18" customHeight="1">
      <c r="A34" s="1649" t="s">
        <v>1834</v>
      </c>
      <c r="B34" s="340" t="s">
        <v>1799</v>
      </c>
      <c r="C34" s="53">
        <f ca="1">ROUND(F34*F35/10000,1)</f>
        <v>0.6</v>
      </c>
      <c r="D34" s="813" t="s">
        <v>1800</v>
      </c>
      <c r="E34" s="783" t="s">
        <v>1801</v>
      </c>
      <c r="F34" s="639">
        <f>'数据-取费表'!B52</f>
        <v>1.5</v>
      </c>
      <c r="G34" s="2061"/>
      <c r="H34" s="2064"/>
      <c r="I34" s="834" t="s">
        <v>1814</v>
      </c>
      <c r="J34" s="835"/>
      <c r="K34" s="2079"/>
      <c r="L34" s="2078"/>
      <c r="M34" s="2078"/>
    </row>
    <row r="35" spans="1:18" ht="18" customHeight="1">
      <c r="A35" s="814"/>
      <c r="B35" s="792"/>
      <c r="C35" s="68"/>
      <c r="D35" s="815"/>
      <c r="E35" s="783" t="s">
        <v>1802</v>
      </c>
      <c r="F35" s="784">
        <f ca="1">INDIRECT("'数据-取费表'!r"&amp;$G$1)</f>
        <v>4035.38</v>
      </c>
      <c r="G35" s="2061"/>
      <c r="H35" s="2064"/>
      <c r="I35" s="836" t="s">
        <v>1815</v>
      </c>
      <c r="J35" s="837">
        <f ca="1">ROUND(C13*J36,0)</f>
        <v>397</v>
      </c>
      <c r="K35" s="2077"/>
      <c r="L35" s="2076"/>
      <c r="M35" s="2076"/>
    </row>
    <row r="36" spans="1:18" ht="18" customHeight="1">
      <c r="A36" s="1647" t="s">
        <v>1890</v>
      </c>
      <c r="B36" s="783" t="s">
        <v>1803</v>
      </c>
      <c r="C36" s="52">
        <f ca="1">ROUND(C29*F36,1)</f>
        <v>46.7</v>
      </c>
      <c r="D36" s="1976" t="s">
        <v>1804</v>
      </c>
      <c r="E36" s="783" t="s">
        <v>1797</v>
      </c>
      <c r="F36" s="816">
        <f ca="1">INDIRECT("'数据-取费表'!Ak"&amp;$G$1)</f>
        <v>0.01</v>
      </c>
      <c r="G36" s="2061"/>
      <c r="H36" s="2076"/>
      <c r="I36" s="838" t="s">
        <v>1816</v>
      </c>
      <c r="J36" s="839">
        <f ca="1">INDIRECT("'数据-取费表'!j"&amp;$G$1)</f>
        <v>8.5000000000000006E-2</v>
      </c>
      <c r="K36" s="2081"/>
      <c r="L36" s="2076"/>
      <c r="M36" s="2076"/>
    </row>
    <row r="37" spans="1:18" ht="18" customHeight="1">
      <c r="A37" s="1647" t="s">
        <v>1891</v>
      </c>
      <c r="B37" s="783" t="s">
        <v>679</v>
      </c>
      <c r="C37" s="52">
        <f ca="1">ROUND(C13*F37,1)</f>
        <v>7</v>
      </c>
      <c r="D37" s="1976" t="s">
        <v>1805</v>
      </c>
      <c r="E37" s="783" t="s">
        <v>1797</v>
      </c>
      <c r="F37" s="817">
        <f ca="1">INDIRECT("'数据-取费表'!Al"&amp;$G$1)</f>
        <v>1.5E-3</v>
      </c>
      <c r="G37" s="2061"/>
      <c r="H37" s="2076"/>
      <c r="I37" s="840" t="s">
        <v>1817</v>
      </c>
      <c r="J37" s="841"/>
      <c r="K37" s="2081"/>
      <c r="L37" s="2076"/>
      <c r="M37" s="2076"/>
    </row>
    <row r="38" spans="1:18" ht="18" customHeight="1" thickBot="1">
      <c r="A38" s="2550" t="s">
        <v>1892</v>
      </c>
      <c r="B38" s="2545" t="s">
        <v>666</v>
      </c>
      <c r="C38" s="2543">
        <f ca="1">ROUND(C5*F38,1)</f>
        <v>12.4</v>
      </c>
      <c r="D38" s="2544" t="s">
        <v>1806</v>
      </c>
      <c r="E38" s="2545" t="s">
        <v>1797</v>
      </c>
      <c r="F38" s="2541">
        <f ca="1">INDIRECT("'数据-取费表'!Am"&amp;$G$1)</f>
        <v>0.01</v>
      </c>
      <c r="G38" s="2061"/>
      <c r="H38" s="2076"/>
      <c r="I38" s="842" t="s">
        <v>1818</v>
      </c>
      <c r="J38" s="843"/>
      <c r="K38" s="2082"/>
      <c r="L38" s="2076"/>
      <c r="M38" s="2076"/>
    </row>
    <row r="39" spans="1:18" ht="24.6" customHeight="1" thickTop="1">
      <c r="A39" s="1828" t="s">
        <v>1895</v>
      </c>
      <c r="B39" s="3009" t="s">
        <v>2823</v>
      </c>
      <c r="C39" s="791">
        <f ca="1">C5-C30</f>
        <v>958</v>
      </c>
      <c r="D39" s="2547" t="s">
        <v>1807</v>
      </c>
      <c r="E39" s="2548"/>
      <c r="F39" s="2549"/>
      <c r="G39" s="2061"/>
      <c r="H39" s="2076"/>
      <c r="I39" s="836" t="s">
        <v>1819</v>
      </c>
      <c r="J39" s="844">
        <f ca="1">ROUND(J35/C39,3)</f>
        <v>0.41399999999999998</v>
      </c>
      <c r="K39" s="2082"/>
      <c r="L39" s="2076"/>
      <c r="M39" s="2076"/>
    </row>
    <row r="40" spans="1:18" ht="18" customHeight="1">
      <c r="A40" s="780" t="s">
        <v>1896</v>
      </c>
      <c r="B40" s="2231" t="s">
        <v>2303</v>
      </c>
      <c r="C40" s="782">
        <f ca="1">ROUND(C39*(1-((1+F42)/(1+F40))^F41)/(F40-F42),0)</f>
        <v>18461</v>
      </c>
      <c r="D40" s="813" t="s">
        <v>1808</v>
      </c>
      <c r="E40" s="783" t="s">
        <v>2420</v>
      </c>
      <c r="F40" s="793">
        <f ca="1">INDIRECT("'数据-取费表'!I"&amp;$G$1)</f>
        <v>0.06</v>
      </c>
      <c r="G40" s="2061"/>
      <c r="H40" s="2061"/>
      <c r="I40" s="836" t="s">
        <v>1820</v>
      </c>
      <c r="J40" s="844">
        <f ca="1">1-J39</f>
        <v>0.58600000000000008</v>
      </c>
      <c r="K40" s="2082"/>
      <c r="L40" s="2061"/>
      <c r="M40" s="2061"/>
    </row>
    <row r="41" spans="1:18" ht="18" customHeight="1">
      <c r="A41" s="785"/>
      <c r="B41" s="786"/>
      <c r="C41" s="787"/>
      <c r="D41" s="820" t="s">
        <v>1809</v>
      </c>
      <c r="E41" s="783" t="s">
        <v>2962</v>
      </c>
      <c r="F41" s="821">
        <f ca="1">IF(INDIRECT("'数据-取费表'!af"&amp;$G$1)=0,INDIRECT("'数据-取费表'!ae"&amp;$G$1),INDIRECT("'数据-取费表'!af"&amp;$G$1))</f>
        <v>30.06</v>
      </c>
      <c r="G41" s="2061"/>
      <c r="H41" s="1987"/>
      <c r="I41" s="842" t="s">
        <v>1821</v>
      </c>
      <c r="J41" s="845"/>
      <c r="K41" s="2081"/>
      <c r="L41" s="1987"/>
      <c r="M41" s="1987"/>
    </row>
    <row r="42" spans="1:18" ht="18" customHeight="1">
      <c r="A42" s="789"/>
      <c r="B42" s="790"/>
      <c r="C42" s="791"/>
      <c r="D42" s="815"/>
      <c r="E42" s="783" t="s">
        <v>1810</v>
      </c>
      <c r="F42" s="793">
        <f ca="1">INDIRECT("'数据-取费表'!v"&amp;$G$1)</f>
        <v>0.03</v>
      </c>
      <c r="G42" s="2061"/>
      <c r="H42" s="1987"/>
      <c r="I42" s="846" t="s">
        <v>1822</v>
      </c>
      <c r="J42" s="844">
        <f ca="1">ROUND(C13/C40,3)</f>
        <v>0.253</v>
      </c>
      <c r="K42" s="2081"/>
      <c r="L42" s="1987"/>
      <c r="M42" s="1987"/>
    </row>
    <row r="43" spans="1:18" ht="18" customHeight="1" thickBot="1">
      <c r="A43" s="822" t="s">
        <v>1788</v>
      </c>
      <c r="B43" s="823" t="s">
        <v>1811</v>
      </c>
      <c r="C43" s="824">
        <f ca="1">ROUND(C40*10000/F43,0)</f>
        <v>17173</v>
      </c>
      <c r="D43" s="825" t="s">
        <v>1812</v>
      </c>
      <c r="E43" s="826" t="s">
        <v>1813</v>
      </c>
      <c r="F43" s="827">
        <f ca="1">INDIRECT("'数据-取费表'!k"&amp;$G$1)</f>
        <v>10750</v>
      </c>
      <c r="G43" s="2061"/>
      <c r="H43" s="1987"/>
      <c r="I43" s="846" t="s">
        <v>1823</v>
      </c>
      <c r="J43" s="847">
        <f ca="1">1-J42</f>
        <v>0.747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-19205</v>
      </c>
      <c r="D46" s="2084"/>
      <c r="E46" s="2084"/>
      <c r="F46" s="2084"/>
      <c r="I46" s="2377" t="s">
        <v>2344</v>
      </c>
      <c r="J46" s="2378"/>
      <c r="K46" s="2379"/>
      <c r="L46" s="3158" t="str">
        <f ca="1">IF(OR(M47="住宅",D1="土地（套用方法）"),0,IF(L48&gt;J51,L60,J60))</f>
        <v>0</v>
      </c>
      <c r="O46" s="2393" t="s">
        <v>2411</v>
      </c>
      <c r="P46" s="1590"/>
      <c r="Q46" s="1602"/>
      <c r="R46" s="1590"/>
    </row>
    <row r="47" spans="1:18" s="2058" customFormat="1" ht="18" customHeight="1" thickBot="1">
      <c r="A47" s="2371">
        <v>1</v>
      </c>
      <c r="B47" s="2372" t="s">
        <v>635</v>
      </c>
      <c r="C47" s="2573">
        <f ca="1">C48+C52+C54</f>
        <v>0</v>
      </c>
      <c r="D47" s="2084"/>
      <c r="E47" s="2084"/>
      <c r="F47" s="2084"/>
      <c r="I47" s="3148" t="s">
        <v>2345</v>
      </c>
      <c r="J47" s="2380" t="s">
        <v>3056</v>
      </c>
      <c r="K47" s="3155" t="s">
        <v>2350</v>
      </c>
      <c r="L47" s="3159">
        <f ca="1">INDIRECT("'数据-取费表'!d"&amp;$G$1)</f>
        <v>40</v>
      </c>
      <c r="M47" s="1602"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2298</v>
      </c>
      <c r="F48" s="2376"/>
      <c r="G48" s="2089"/>
      <c r="I48" s="3124" t="s">
        <v>2346</v>
      </c>
      <c r="J48" s="2381" t="s">
        <v>2351</v>
      </c>
      <c r="K48" s="3156" t="s">
        <v>2352</v>
      </c>
      <c r="L48" s="1907">
        <f ca="1">INDIRECT("'数据-取费表'!f"&amp;$G$1)</f>
        <v>30.06</v>
      </c>
      <c r="O48" s="2397" t="s">
        <v>2380</v>
      </c>
      <c r="P48" s="2398" t="s">
        <v>2406</v>
      </c>
      <c r="Q48" s="2399">
        <f ca="1">C40+J29</f>
        <v>18461</v>
      </c>
      <c r="R48" s="2398" t="s">
        <v>2381</v>
      </c>
    </row>
    <row r="49" spans="1:18" s="2058" customFormat="1" ht="18" customHeight="1" thickBot="1">
      <c r="A49" s="785"/>
      <c r="B49" s="786"/>
      <c r="C49" s="787"/>
      <c r="D49" s="788"/>
      <c r="E49" s="783" t="s">
        <v>1740</v>
      </c>
      <c r="F49" s="784">
        <f ca="1">F7</f>
        <v>10750</v>
      </c>
      <c r="G49" s="2089"/>
      <c r="H49" s="2092"/>
      <c r="I49" s="3124" t="s">
        <v>2347</v>
      </c>
      <c r="J49" s="2382"/>
      <c r="K49" s="3157" t="s">
        <v>2353</v>
      </c>
      <c r="L49" s="2383"/>
      <c r="O49" s="2397" t="s">
        <v>2382</v>
      </c>
      <c r="P49" s="2398" t="s">
        <v>2407</v>
      </c>
      <c r="Q49" s="2399" t="str">
        <f ca="1">J60</f>
        <v>0</v>
      </c>
      <c r="R49" s="2398" t="s">
        <v>2383</v>
      </c>
    </row>
    <row r="50" spans="1:18" s="2058" customFormat="1" ht="18" customHeight="1" thickBot="1">
      <c r="A50" s="785"/>
      <c r="B50" s="786"/>
      <c r="C50" s="787"/>
      <c r="D50" s="788"/>
      <c r="E50" s="783" t="s">
        <v>1741</v>
      </c>
      <c r="F50" s="784">
        <f ca="1">F8</f>
        <v>365</v>
      </c>
      <c r="G50" s="2094"/>
      <c r="H50" s="2092"/>
      <c r="I50" s="3124" t="s">
        <v>2348</v>
      </c>
      <c r="J50" s="3152">
        <f>SUMPRODUCT((I63:I65=J47)*(J62:L62=J48)*(J63:L65))</f>
        <v>60</v>
      </c>
      <c r="K50" s="3157" t="s">
        <v>2354</v>
      </c>
      <c r="L50" s="2383"/>
      <c r="O50" s="2400" t="s">
        <v>2384</v>
      </c>
      <c r="P50" s="2398" t="s">
        <v>2408</v>
      </c>
      <c r="Q50" s="2399">
        <f ca="1">C29</f>
        <v>4670</v>
      </c>
      <c r="R50" s="2398" t="s">
        <v>2381</v>
      </c>
    </row>
    <row r="51" spans="1:18" s="2058" customFormat="1" ht="18" customHeight="1" thickBot="1">
      <c r="A51" s="785"/>
      <c r="B51" s="786"/>
      <c r="C51" s="787"/>
      <c r="D51" s="788"/>
      <c r="E51" s="783" t="s">
        <v>640</v>
      </c>
      <c r="F51" s="2370"/>
      <c r="H51" s="2092"/>
      <c r="I51" s="3149" t="s">
        <v>2349</v>
      </c>
      <c r="J51" s="3153">
        <f>IF(J49="",J50,J49+J50-YEAR('数据-取费表'!B2))</f>
        <v>60</v>
      </c>
      <c r="K51" s="3124" t="s">
        <v>2355</v>
      </c>
      <c r="L51" s="3160">
        <f ca="1">ROUND(-PV(INDIRECT("'数据-取费表'!h"&amp;$G$1),L48,(C39-C13*J36),0),0)</f>
        <v>8161</v>
      </c>
      <c r="O51" s="2400" t="s">
        <v>2385</v>
      </c>
      <c r="P51" s="2398" t="s">
        <v>2386</v>
      </c>
      <c r="Q51" s="2401" t="e">
        <f ca="1">J58</f>
        <v>#VALUE!</v>
      </c>
      <c r="R51" s="2402"/>
    </row>
    <row r="52" spans="1:18" s="2058" customFormat="1" ht="18" customHeight="1" thickBot="1">
      <c r="A52" s="780" t="s">
        <v>2537</v>
      </c>
      <c r="B52" s="2493" t="s">
        <v>2460</v>
      </c>
      <c r="C52" s="798">
        <f ca="1">ROUND(IF(F52="押一",C48/12*F11,IF(F52="押二",C48/12*2*F11,IF(F52="押三",C48/12*3*F11,C53*F11))),0)</f>
        <v>0</v>
      </c>
      <c r="D52" s="2500" t="s">
        <v>2973</v>
      </c>
      <c r="E52" s="2497" t="s">
        <v>2465</v>
      </c>
      <c r="F52" s="2620"/>
      <c r="I52" s="3150" t="s">
        <v>2422</v>
      </c>
      <c r="J52" s="2384"/>
      <c r="K52" s="3150" t="s">
        <v>2421</v>
      </c>
      <c r="L52" s="2384"/>
      <c r="O52" s="2400" t="s">
        <v>2387</v>
      </c>
      <c r="P52" s="2398" t="s">
        <v>2388</v>
      </c>
      <c r="Q52" s="2401">
        <f>J52</f>
        <v>0</v>
      </c>
      <c r="R52" s="2402"/>
    </row>
    <row r="53" spans="1:18" s="2058" customFormat="1" ht="39.75" customHeight="1" thickBot="1">
      <c r="A53" s="785"/>
      <c r="B53" s="2494" t="s">
        <v>2574</v>
      </c>
      <c r="C53" s="2498"/>
      <c r="D53" s="2500"/>
      <c r="E53" s="2497"/>
      <c r="F53" s="799"/>
      <c r="I53" s="3151" t="s">
        <v>2977</v>
      </c>
      <c r="J53" s="3154">
        <f ca="1">IF(M47="住宅",IF(D1="——",MAX(J51,L48),MAX(J51,L48-'数据-取费表'!B20)),IF(D1="——",MIN(J51,L48),MIN(J51,L48-'数据-取费表'!B20)))</f>
        <v>30.06</v>
      </c>
      <c r="K53" s="3463" t="s">
        <v>2964</v>
      </c>
      <c r="L53" s="3464"/>
      <c r="O53" s="2400" t="s">
        <v>2389</v>
      </c>
      <c r="P53" s="2398" t="s">
        <v>2390</v>
      </c>
      <c r="Q53" s="2399">
        <f ca="1">J53</f>
        <v>30.06</v>
      </c>
      <c r="R53" s="2398" t="s">
        <v>2391</v>
      </c>
    </row>
    <row r="54" spans="1:18" s="2058" customFormat="1" ht="18" customHeight="1" thickBot="1">
      <c r="A54" s="2536" t="s">
        <v>2468</v>
      </c>
      <c r="B54" s="2537" t="s">
        <v>2461</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18461</v>
      </c>
      <c r="R54" s="2402" t="s">
        <v>2393</v>
      </c>
    </row>
    <row r="55" spans="1:18" s="2058" customFormat="1" ht="18" customHeight="1" thickTop="1" thickBot="1">
      <c r="A55" s="796">
        <v>2</v>
      </c>
      <c r="B55" s="797" t="s">
        <v>644</v>
      </c>
      <c r="C55" s="798">
        <f ca="1">C13</f>
        <v>4670</v>
      </c>
      <c r="D55" s="794"/>
      <c r="E55" s="794"/>
      <c r="F55" s="799"/>
      <c r="I55" s="3163" t="s">
        <v>2356</v>
      </c>
      <c r="J55" s="3099" t="e">
        <f ca="1">ROUND(IF(J47="钢混",J57/J50,1-(1-2%)*(J50-J57)/J50),3)</f>
        <v>#VALUE!</v>
      </c>
      <c r="K55" s="3164" t="s">
        <v>2357</v>
      </c>
      <c r="L55" s="2385"/>
      <c r="O55" s="2403" t="s">
        <v>2412</v>
      </c>
      <c r="P55" s="1590"/>
      <c r="Q55" s="1602"/>
      <c r="R55" s="1590"/>
    </row>
    <row r="56" spans="1:18" s="2058" customFormat="1" ht="42.75" customHeight="1" thickBot="1">
      <c r="A56" s="1648"/>
      <c r="B56" s="2230" t="s">
        <v>2304</v>
      </c>
      <c r="C56" s="52">
        <f ca="1">C29</f>
        <v>4670</v>
      </c>
      <c r="D56" s="2638"/>
      <c r="E56" s="783"/>
      <c r="F56" s="808"/>
      <c r="I56" s="3165" t="s">
        <v>2358</v>
      </c>
      <c r="J56" s="3175" t="s">
        <v>1679</v>
      </c>
      <c r="K56" s="3124" t="s">
        <v>2363</v>
      </c>
      <c r="L56" s="1907" t="str">
        <f ca="1">IF(L48&lt;J51,"——",L48-J51)</f>
        <v>——</v>
      </c>
      <c r="O56" s="2394" t="s">
        <v>2376</v>
      </c>
      <c r="P56" s="2395" t="s">
        <v>2377</v>
      </c>
      <c r="Q56" s="2396" t="s">
        <v>2378</v>
      </c>
      <c r="R56" s="2395" t="s">
        <v>2379</v>
      </c>
    </row>
    <row r="57" spans="1:18" s="2058" customFormat="1" ht="28.5" customHeight="1" thickBot="1">
      <c r="A57" s="796" t="s">
        <v>1749</v>
      </c>
      <c r="B57" s="797" t="s">
        <v>651</v>
      </c>
      <c r="C57" s="798">
        <f ca="1">ROUND(C58+C63+C64+C65,0)</f>
        <v>54</v>
      </c>
      <c r="D57" s="25" t="s">
        <v>1751</v>
      </c>
      <c r="E57" s="2639"/>
      <c r="F57" s="55"/>
      <c r="I57" s="3166" t="s">
        <v>2359</v>
      </c>
      <c r="J57" s="3167" t="str">
        <f ca="1">IF(OR(M47="住宅",J51&lt;L48,J56="是"),"——",J51-L48)</f>
        <v>——</v>
      </c>
      <c r="K57" s="3124" t="s">
        <v>2364</v>
      </c>
      <c r="L57" s="1907" t="str">
        <f ca="1">IF(L48&lt;J51,"——",IF(L55="比较法",L49,IF(L55="基准地价",L50,L51)))</f>
        <v>——</v>
      </c>
      <c r="O57" s="2397" t="s">
        <v>2380</v>
      </c>
      <c r="P57" s="2398" t="s">
        <v>2410</v>
      </c>
      <c r="Q57" s="2399">
        <f ca="1">C40+J29</f>
        <v>18461</v>
      </c>
      <c r="R57" s="2398" t="s">
        <v>2381</v>
      </c>
    </row>
    <row r="58" spans="1:18" s="2058" customFormat="1" ht="28.5" customHeight="1" thickBot="1">
      <c r="A58" s="1647" t="s">
        <v>1825</v>
      </c>
      <c r="B58" s="783" t="s">
        <v>656</v>
      </c>
      <c r="C58" s="52">
        <f ca="1">ROUND(IF(项目基本情况!B11="自然人",C47*F58,C59+C60+C61),1)</f>
        <v>0.6</v>
      </c>
      <c r="D58" s="2637" t="s">
        <v>657</v>
      </c>
      <c r="E58" s="2638" t="s">
        <v>690</v>
      </c>
      <c r="F58" s="809" t="str">
        <f ca="1">IF(项目基本情况!B11="企业","",IF(INDIRECT("'数据-取费表'!c"&amp;$G$1)="住宅",5%,IF(F48*F49*F50/12/(1+'数据-取费表'!C42)&gt;20000,12%,7%)))</f>
        <v/>
      </c>
      <c r="I58" s="3166" t="s">
        <v>2360</v>
      </c>
      <c r="J58" s="3100" t="e">
        <f ca="1">IF(J55&lt;0.4,0.4,J55)</f>
        <v>#VALUE!</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6" t="s">
        <v>1832</v>
      </c>
      <c r="B59" s="783" t="s">
        <v>660</v>
      </c>
      <c r="C59" s="52">
        <f ca="1">ROUND(C47*F59/1.05,1)</f>
        <v>0</v>
      </c>
      <c r="D59" s="2638" t="s">
        <v>1757</v>
      </c>
      <c r="E59" s="783" t="s">
        <v>1748</v>
      </c>
      <c r="F59" s="808">
        <f t="shared" ref="F59:F65" si="0">F32</f>
        <v>5.5000000000000007E-2</v>
      </c>
      <c r="I59" s="3166" t="s">
        <v>2361</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6" t="s">
        <v>1833</v>
      </c>
      <c r="B60" s="783" t="s">
        <v>1759</v>
      </c>
      <c r="C60" s="52">
        <f ca="1">IF(D60="按租金收入计税",ROUND(C47*F60,1),IF(D60="按房产原值计税",ROUND(C56*F60*0.7,1),INDIRECT("'数据-取费表'!Aj"&amp;$G$1)))</f>
        <v>0</v>
      </c>
      <c r="D60" s="2638" t="str">
        <f>D33</f>
        <v>按租金收入计税</v>
      </c>
      <c r="E60" s="783" t="s">
        <v>1748</v>
      </c>
      <c r="F60" s="808">
        <f t="shared" si="0"/>
        <v>0.12</v>
      </c>
      <c r="I60" s="3168" t="s">
        <v>2362</v>
      </c>
      <c r="J60" s="3169" t="str">
        <f ca="1">IF(OR(M47="住宅",J51&lt;L48,J56="是"),"0",ROUND(J59/(1+J52)^J53,0))</f>
        <v>0</v>
      </c>
      <c r="K60" s="3170" t="s">
        <v>2367</v>
      </c>
      <c r="L60" s="3169">
        <f ca="1">IF(OR(M47="住宅",L48&lt;J51),0,ROUND(L57*(L58/L59-1),0))</f>
        <v>0</v>
      </c>
      <c r="O60" s="2400" t="s">
        <v>2385</v>
      </c>
      <c r="P60" s="2398" t="s">
        <v>2394</v>
      </c>
      <c r="Q60" s="2401">
        <f>L52</f>
        <v>0</v>
      </c>
      <c r="R60" s="2402"/>
    </row>
    <row r="61" spans="1:18" s="2058" customFormat="1" ht="18" customHeight="1" thickBot="1">
      <c r="A61" s="1649" t="s">
        <v>1834</v>
      </c>
      <c r="B61" s="340" t="s">
        <v>668</v>
      </c>
      <c r="C61" s="53">
        <f ca="1">ROUND(F61*F62/10000,1)</f>
        <v>0.6</v>
      </c>
      <c r="D61" s="813" t="s">
        <v>669</v>
      </c>
      <c r="E61" s="783" t="s">
        <v>670</v>
      </c>
      <c r="F61" s="639">
        <f t="shared" si="0"/>
        <v>1.5</v>
      </c>
      <c r="K61" s="2085"/>
      <c r="O61" s="2400" t="s">
        <v>2387</v>
      </c>
      <c r="P61" s="2398" t="s">
        <v>2395</v>
      </c>
      <c r="Q61" s="2399" t="e">
        <f ca="1">L58</f>
        <v>#DIV/0!</v>
      </c>
      <c r="R61" s="2402" t="s">
        <v>2396</v>
      </c>
    </row>
    <row r="62" spans="1:18" s="2058" customFormat="1" ht="15.75" thickBot="1">
      <c r="A62" s="814"/>
      <c r="B62" s="792"/>
      <c r="C62" s="68"/>
      <c r="D62" s="815"/>
      <c r="E62" s="783" t="s">
        <v>674</v>
      </c>
      <c r="F62" s="784">
        <f t="shared" ca="1" si="0"/>
        <v>4035.38</v>
      </c>
      <c r="I62" s="3171" t="s">
        <v>2368</v>
      </c>
      <c r="J62" s="3172" t="s">
        <v>2369</v>
      </c>
      <c r="K62" s="3172" t="s">
        <v>2370</v>
      </c>
      <c r="L62" s="3172" t="s">
        <v>2351</v>
      </c>
      <c r="M62" s="3173" t="s">
        <v>2940</v>
      </c>
      <c r="O62" s="2400" t="s">
        <v>2389</v>
      </c>
      <c r="P62" s="2398" t="str">
        <f>K59</f>
        <v>建筑物剩余耐用年限下的土地年期修正系数Kn</v>
      </c>
      <c r="Q62" s="2399" t="e">
        <f ca="1">L59</f>
        <v>#DIV/0!</v>
      </c>
      <c r="R62" s="2402" t="s">
        <v>2398</v>
      </c>
    </row>
    <row r="63" spans="1:18" s="2058" customFormat="1" ht="15.75" thickBot="1">
      <c r="A63" s="1647" t="s">
        <v>1890</v>
      </c>
      <c r="B63" s="783" t="s">
        <v>676</v>
      </c>
      <c r="C63" s="52">
        <f ca="1">ROUND(C56*F63,1)</f>
        <v>46.7</v>
      </c>
      <c r="D63" s="2638" t="s">
        <v>1804</v>
      </c>
      <c r="E63" s="783" t="s">
        <v>1748</v>
      </c>
      <c r="F63" s="816">
        <f t="shared" ca="1" si="0"/>
        <v>0.01</v>
      </c>
      <c r="I63" s="3171" t="s">
        <v>2371</v>
      </c>
      <c r="J63" s="3172">
        <v>70</v>
      </c>
      <c r="K63" s="3172">
        <v>50</v>
      </c>
      <c r="L63" s="3172">
        <v>80</v>
      </c>
      <c r="M63" s="3174">
        <v>0.02</v>
      </c>
      <c r="O63" s="2397" t="s">
        <v>2392</v>
      </c>
      <c r="P63" s="2398" t="s">
        <v>2409</v>
      </c>
      <c r="Q63" s="2399">
        <f ca="1">Q57+Q58</f>
        <v>18461</v>
      </c>
      <c r="R63" s="2402" t="s">
        <v>2393</v>
      </c>
    </row>
    <row r="64" spans="1:18" s="2058" customFormat="1" ht="16.5" thickBot="1">
      <c r="A64" s="1647" t="s">
        <v>1891</v>
      </c>
      <c r="B64" s="783" t="s">
        <v>679</v>
      </c>
      <c r="C64" s="52">
        <f ca="1">ROUND(C55*F64,1)</f>
        <v>7</v>
      </c>
      <c r="D64" s="2638" t="s">
        <v>680</v>
      </c>
      <c r="E64" s="783" t="s">
        <v>1748</v>
      </c>
      <c r="F64" s="817">
        <f t="shared" ca="1" si="0"/>
        <v>1.5E-3</v>
      </c>
      <c r="I64" s="3171" t="s">
        <v>2372</v>
      </c>
      <c r="J64" s="3172">
        <v>50</v>
      </c>
      <c r="K64" s="3172">
        <v>35</v>
      </c>
      <c r="L64" s="3172">
        <v>60</v>
      </c>
      <c r="M64" s="845">
        <v>0</v>
      </c>
      <c r="O64" s="2403" t="s">
        <v>2416</v>
      </c>
      <c r="P64" s="1590"/>
      <c r="Q64" s="1602"/>
      <c r="R64" s="1590"/>
    </row>
    <row r="65" spans="1:18" s="2058" customFormat="1" ht="15.75" thickBot="1">
      <c r="A65" s="1647" t="s">
        <v>1892</v>
      </c>
      <c r="B65" s="783" t="s">
        <v>666</v>
      </c>
      <c r="C65" s="52">
        <f ca="1">ROUND(C47*F65,1)</f>
        <v>0</v>
      </c>
      <c r="D65" s="2638" t="s">
        <v>683</v>
      </c>
      <c r="E65" s="783" t="s">
        <v>1748</v>
      </c>
      <c r="F65" s="793">
        <f t="shared" ca="1" si="0"/>
        <v>0.01</v>
      </c>
      <c r="I65" s="3171" t="s">
        <v>2373</v>
      </c>
      <c r="J65" s="3172">
        <v>40</v>
      </c>
      <c r="K65" s="3172">
        <v>30</v>
      </c>
      <c r="L65" s="3172">
        <v>50</v>
      </c>
      <c r="M65" s="3174">
        <v>0.02</v>
      </c>
      <c r="O65" s="2394" t="s">
        <v>2376</v>
      </c>
      <c r="P65" s="2395" t="s">
        <v>2377</v>
      </c>
      <c r="Q65" s="2396" t="s">
        <v>2378</v>
      </c>
      <c r="R65" s="2395" t="s">
        <v>2379</v>
      </c>
    </row>
    <row r="66" spans="1:18" s="2058" customFormat="1" ht="24.75" thickBot="1">
      <c r="A66" s="796" t="s">
        <v>1777</v>
      </c>
      <c r="B66" s="3010" t="s">
        <v>2823</v>
      </c>
      <c r="C66" s="798">
        <f ca="1">C47-C57</f>
        <v>-54</v>
      </c>
      <c r="D66" s="2637" t="s">
        <v>700</v>
      </c>
      <c r="E66" s="2636"/>
      <c r="F66" s="819"/>
      <c r="K66" s="2085"/>
      <c r="O66" s="2397" t="s">
        <v>2380</v>
      </c>
      <c r="P66" s="2398" t="s">
        <v>2410</v>
      </c>
      <c r="Q66" s="2399">
        <f ca="1">C40+J29</f>
        <v>18461</v>
      </c>
      <c r="R66" s="2398" t="s">
        <v>2381</v>
      </c>
    </row>
    <row r="67" spans="1:18" s="2058" customFormat="1" ht="20.25" thickBot="1">
      <c r="A67" s="780" t="s">
        <v>1781</v>
      </c>
      <c r="B67" s="2231" t="s">
        <v>2303</v>
      </c>
      <c r="C67" s="782">
        <f ca="1">ROUND(C66*(1-((1+F69)/(1+F67))^F68)/(F67-F69),0)</f>
        <v>-744</v>
      </c>
      <c r="D67" s="813" t="s">
        <v>704</v>
      </c>
      <c r="E67" s="783" t="s">
        <v>705</v>
      </c>
      <c r="F67" s="793">
        <f ca="1">F40</f>
        <v>0.06</v>
      </c>
      <c r="K67" s="2085"/>
      <c r="O67" s="2397" t="s">
        <v>2382</v>
      </c>
      <c r="P67" s="2398" t="s">
        <v>2413</v>
      </c>
      <c r="Q67" s="2399">
        <f ca="1">L60</f>
        <v>0</v>
      </c>
      <c r="R67" s="2402" t="s">
        <v>2415</v>
      </c>
    </row>
    <row r="68" spans="1:18" ht="21.75" thickBot="1">
      <c r="A68" s="785"/>
      <c r="B68" s="786"/>
      <c r="C68" s="787"/>
      <c r="D68" s="820" t="s">
        <v>1809</v>
      </c>
      <c r="E68" s="783" t="s">
        <v>1785</v>
      </c>
      <c r="F68" s="821">
        <f ca="1">F41</f>
        <v>30.06</v>
      </c>
      <c r="O68" s="2400" t="s">
        <v>2384</v>
      </c>
      <c r="P68" s="2398" t="s">
        <v>2414</v>
      </c>
      <c r="Q68" s="2404">
        <f ca="1">L51</f>
        <v>8161</v>
      </c>
      <c r="R68" s="2405" t="s">
        <v>2417</v>
      </c>
    </row>
    <row r="69" spans="1:18" ht="20.25" thickBot="1">
      <c r="A69" s="789"/>
      <c r="B69" s="790"/>
      <c r="C69" s="791"/>
      <c r="D69" s="815"/>
      <c r="E69" s="783" t="s">
        <v>710</v>
      </c>
      <c r="F69" s="2370"/>
      <c r="O69" s="2400" t="s">
        <v>2385</v>
      </c>
      <c r="P69" s="2406" t="s">
        <v>2399</v>
      </c>
      <c r="Q69" s="2399">
        <f ca="1">ROUND(Q70-Q71*Q72,0)</f>
        <v>561</v>
      </c>
      <c r="R69" s="2402"/>
    </row>
    <row r="70" spans="1:18" ht="15.75" thickBot="1">
      <c r="A70" s="822" t="s">
        <v>1788</v>
      </c>
      <c r="B70" s="823" t="s">
        <v>1811</v>
      </c>
      <c r="C70" s="824">
        <f ca="1">ROUND(C67*10000/F70,0)</f>
        <v>-692</v>
      </c>
      <c r="D70" s="825" t="s">
        <v>1812</v>
      </c>
      <c r="E70" s="826" t="s">
        <v>1813</v>
      </c>
      <c r="F70" s="827">
        <f ca="1">F43</f>
        <v>10750</v>
      </c>
      <c r="O70" s="2400" t="s">
        <v>2400</v>
      </c>
      <c r="P70" s="2406" t="s">
        <v>2401</v>
      </c>
      <c r="Q70" s="2399">
        <f ca="1">C39</f>
        <v>958</v>
      </c>
      <c r="R70" s="2398" t="s">
        <v>2381</v>
      </c>
    </row>
    <row r="71" spans="1:18" ht="15.75" thickBot="1">
      <c r="O71" s="2400" t="s">
        <v>2402</v>
      </c>
      <c r="P71" s="2406" t="s">
        <v>2403</v>
      </c>
      <c r="Q71" s="2399">
        <f ca="1">C13</f>
        <v>4670</v>
      </c>
      <c r="R71" s="2398" t="s">
        <v>2381</v>
      </c>
    </row>
    <row r="72" spans="1:18" ht="15.75" thickBot="1">
      <c r="O72" s="2400" t="s">
        <v>2404</v>
      </c>
      <c r="P72" s="2406" t="s">
        <v>2405</v>
      </c>
      <c r="Q72" s="2401">
        <f ca="1">J36</f>
        <v>8.5000000000000006E-2</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建筑物剩余耐用年限下的土地年期修正系数Kn</v>
      </c>
      <c r="Q75" s="2399" t="e">
        <f ca="1">L59</f>
        <v>#DIV/0!</v>
      </c>
      <c r="R75" s="2402" t="s">
        <v>2398</v>
      </c>
    </row>
    <row r="76" spans="1:18" ht="15.75" thickBot="1">
      <c r="O76" s="2397" t="s">
        <v>2392</v>
      </c>
      <c r="P76" s="2398" t="s">
        <v>2409</v>
      </c>
      <c r="Q76" s="2399">
        <f ca="1">Q66+Q67</f>
        <v>18461</v>
      </c>
      <c r="R76" s="2402" t="s">
        <v>2393</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81" t="s">
        <v>2472</v>
      </c>
      <c r="B1" s="3482"/>
      <c r="C1" s="3483"/>
      <c r="D1" s="3484">
        <f>SUM(I10,I15,I20,I21,I23)</f>
        <v>0</v>
      </c>
      <c r="E1" s="3484"/>
      <c r="F1" s="3484"/>
      <c r="G1" s="3484"/>
      <c r="H1" s="3484"/>
      <c r="I1" s="3485"/>
    </row>
    <row r="2" spans="1:9">
      <c r="A2" s="3471" t="s">
        <v>2473</v>
      </c>
      <c r="B2" s="3472" t="s">
        <v>2474</v>
      </c>
      <c r="C2" s="3472"/>
      <c r="D2" s="2506" t="s">
        <v>2475</v>
      </c>
      <c r="E2" s="2506" t="s">
        <v>2476</v>
      </c>
      <c r="F2" s="2506" t="s">
        <v>2477</v>
      </c>
      <c r="G2" s="2506" t="s">
        <v>2478</v>
      </c>
      <c r="H2" s="2506" t="s">
        <v>2479</v>
      </c>
      <c r="I2" s="2507" t="s">
        <v>2480</v>
      </c>
    </row>
    <row r="3" spans="1:9">
      <c r="A3" s="3471"/>
      <c r="B3" s="3472" t="s">
        <v>2481</v>
      </c>
      <c r="C3" s="3472"/>
      <c r="D3" s="2508"/>
      <c r="E3" s="2506"/>
      <c r="F3" s="2509"/>
      <c r="G3" s="2509"/>
      <c r="H3" s="2510"/>
      <c r="I3" s="2511">
        <f>ROUND(D3*E3*F3*G3*H3/10000,0)</f>
        <v>0</v>
      </c>
    </row>
    <row r="4" spans="1:9">
      <c r="A4" s="3471"/>
      <c r="B4" s="3472" t="s">
        <v>2482</v>
      </c>
      <c r="C4" s="3472"/>
      <c r="D4" s="2508"/>
      <c r="E4" s="2506"/>
      <c r="F4" s="2509"/>
      <c r="G4" s="2509"/>
      <c r="H4" s="2510"/>
      <c r="I4" s="2511">
        <f t="shared" ref="I4:I9" si="0">ROUND(D4*E4*F4*G4*H4/10000,0)</f>
        <v>0</v>
      </c>
    </row>
    <row r="5" spans="1:9">
      <c r="A5" s="3471"/>
      <c r="B5" s="3472" t="s">
        <v>2483</v>
      </c>
      <c r="C5" s="3472"/>
      <c r="D5" s="2508"/>
      <c r="E5" s="2506"/>
      <c r="F5" s="2509"/>
      <c r="G5" s="2509"/>
      <c r="H5" s="2510"/>
      <c r="I5" s="2511">
        <f t="shared" si="0"/>
        <v>0</v>
      </c>
    </row>
    <row r="6" spans="1:9">
      <c r="A6" s="3471"/>
      <c r="B6" s="3472" t="s">
        <v>2484</v>
      </c>
      <c r="C6" s="3472"/>
      <c r="D6" s="2508"/>
      <c r="E6" s="2506"/>
      <c r="F6" s="2509"/>
      <c r="G6" s="2509"/>
      <c r="H6" s="2510"/>
      <c r="I6" s="2511">
        <f t="shared" si="0"/>
        <v>0</v>
      </c>
    </row>
    <row r="7" spans="1:9">
      <c r="A7" s="3471"/>
      <c r="B7" s="3472" t="s">
        <v>2485</v>
      </c>
      <c r="C7" s="3472"/>
      <c r="D7" s="2508"/>
      <c r="E7" s="2506"/>
      <c r="F7" s="2509"/>
      <c r="G7" s="2509"/>
      <c r="H7" s="2510"/>
      <c r="I7" s="2511">
        <f t="shared" si="0"/>
        <v>0</v>
      </c>
    </row>
    <row r="8" spans="1:9">
      <c r="A8" s="3471"/>
      <c r="B8" s="3472" t="s">
        <v>2486</v>
      </c>
      <c r="C8" s="3472"/>
      <c r="D8" s="2508"/>
      <c r="E8" s="2506"/>
      <c r="F8" s="2509"/>
      <c r="G8" s="2509"/>
      <c r="H8" s="2510"/>
      <c r="I8" s="2511">
        <f t="shared" si="0"/>
        <v>0</v>
      </c>
    </row>
    <row r="9" spans="1:9">
      <c r="A9" s="3471"/>
      <c r="B9" s="3472" t="s">
        <v>2487</v>
      </c>
      <c r="C9" s="3472"/>
      <c r="D9" s="2508"/>
      <c r="E9" s="2506"/>
      <c r="F9" s="2509"/>
      <c r="G9" s="2509"/>
      <c r="H9" s="2510"/>
      <c r="I9" s="2511">
        <f t="shared" si="0"/>
        <v>0</v>
      </c>
    </row>
    <row r="10" spans="1:9">
      <c r="A10" s="3471"/>
      <c r="B10" s="3473" t="s">
        <v>2488</v>
      </c>
      <c r="C10" s="3473"/>
      <c r="D10" s="2512">
        <v>527</v>
      </c>
      <c r="E10" s="2512" t="e">
        <f>ROUND(D1*10000/D10/H9,0)</f>
        <v>#DIV/0!</v>
      </c>
      <c r="F10" s="2513"/>
      <c r="G10" s="2513"/>
      <c r="H10" s="2514"/>
      <c r="I10" s="2515">
        <f>SUM(I3:I9)</f>
        <v>0</v>
      </c>
    </row>
    <row r="11" spans="1:9" ht="14.25">
      <c r="A11" s="3471" t="s">
        <v>2489</v>
      </c>
      <c r="B11" s="3472" t="s">
        <v>2490</v>
      </c>
      <c r="C11" s="3472"/>
      <c r="D11" s="2508" t="s">
        <v>2491</v>
      </c>
      <c r="E11" s="2508" t="s">
        <v>2492</v>
      </c>
      <c r="F11" s="2509" t="s">
        <v>2493</v>
      </c>
      <c r="G11" s="2509" t="s">
        <v>2494</v>
      </c>
      <c r="H11" s="2516" t="s">
        <v>2495</v>
      </c>
      <c r="I11" s="2507" t="s">
        <v>2496</v>
      </c>
    </row>
    <row r="12" spans="1:9">
      <c r="A12" s="3471"/>
      <c r="B12" s="3472" t="s">
        <v>2497</v>
      </c>
      <c r="C12" s="3472"/>
      <c r="D12" s="2508"/>
      <c r="E12" s="2508"/>
      <c r="F12" s="2509"/>
      <c r="G12" s="2510"/>
      <c r="H12" s="2517"/>
      <c r="I12" s="2507">
        <f>ROUND(D12*E12*F12*G12/10000,0)</f>
        <v>0</v>
      </c>
    </row>
    <row r="13" spans="1:9">
      <c r="A13" s="3471"/>
      <c r="B13" s="3472" t="s">
        <v>2498</v>
      </c>
      <c r="C13" s="3472"/>
      <c r="D13" s="2508"/>
      <c r="E13" s="2508"/>
      <c r="F13" s="2509"/>
      <c r="G13" s="2510"/>
      <c r="H13" s="2517"/>
      <c r="I13" s="2507">
        <f>ROUND(D13*E13*F13*G13/10000,0)</f>
        <v>0</v>
      </c>
    </row>
    <row r="14" spans="1:9">
      <c r="A14" s="3471"/>
      <c r="B14" s="3472" t="s">
        <v>2499</v>
      </c>
      <c r="C14" s="3472"/>
      <c r="D14" s="2508"/>
      <c r="E14" s="2508"/>
      <c r="F14" s="2509"/>
      <c r="G14" s="2510"/>
      <c r="H14" s="2517"/>
      <c r="I14" s="2507">
        <f>ROUND(D14*E14*F14*G14/10000,0)</f>
        <v>0</v>
      </c>
    </row>
    <row r="15" spans="1:9">
      <c r="A15" s="3471"/>
      <c r="B15" s="3473" t="s">
        <v>2488</v>
      </c>
      <c r="C15" s="3473"/>
      <c r="D15" s="2512"/>
      <c r="E15" s="2512">
        <f>SUM(E12:E14)</f>
        <v>0</v>
      </c>
      <c r="F15" s="2513"/>
      <c r="G15" s="2510"/>
      <c r="H15" s="2517"/>
      <c r="I15" s="2518">
        <f>SUM(I12:I14)</f>
        <v>0</v>
      </c>
    </row>
    <row r="16" spans="1:9" ht="24">
      <c r="A16" s="3471" t="s">
        <v>2500</v>
      </c>
      <c r="B16" s="3472" t="s">
        <v>2501</v>
      </c>
      <c r="C16" s="3472"/>
      <c r="D16" s="2508" t="s">
        <v>2502</v>
      </c>
      <c r="E16" s="2519" t="s">
        <v>2503</v>
      </c>
      <c r="F16" s="2509" t="s">
        <v>2504</v>
      </c>
      <c r="G16" s="2510" t="s">
        <v>2494</v>
      </c>
      <c r="H16" s="2516" t="s">
        <v>2495</v>
      </c>
      <c r="I16" s="2507" t="s">
        <v>2496</v>
      </c>
    </row>
    <row r="17" spans="1:9" ht="14.25">
      <c r="A17" s="3471"/>
      <c r="B17" s="3472" t="s">
        <v>2505</v>
      </c>
      <c r="C17" s="3472"/>
      <c r="D17" s="2508"/>
      <c r="E17" s="2508"/>
      <c r="F17" s="2509"/>
      <c r="G17" s="2510"/>
      <c r="H17" s="2520"/>
      <c r="I17" s="2521">
        <f>ROUND(D17*E17*F17*G17/10000,0)</f>
        <v>0</v>
      </c>
    </row>
    <row r="18" spans="1:9" ht="14.25">
      <c r="A18" s="3471"/>
      <c r="B18" s="3472" t="s">
        <v>2506</v>
      </c>
      <c r="C18" s="3472"/>
      <c r="D18" s="2508"/>
      <c r="E18" s="2508"/>
      <c r="F18" s="2509"/>
      <c r="G18" s="2510"/>
      <c r="H18" s="2520"/>
      <c r="I18" s="2521">
        <f>ROUND(D18*E18*F18*G18/10000,0)</f>
        <v>0</v>
      </c>
    </row>
    <row r="19" spans="1:9" ht="14.25">
      <c r="A19" s="3471"/>
      <c r="B19" s="3472" t="s">
        <v>2507</v>
      </c>
      <c r="C19" s="3472"/>
      <c r="D19" s="2508"/>
      <c r="E19" s="2508"/>
      <c r="F19" s="2509"/>
      <c r="G19" s="2510"/>
      <c r="H19" s="2520"/>
      <c r="I19" s="2521">
        <f>ROUND(D19*E19*F19*G19/10000,0)</f>
        <v>0</v>
      </c>
    </row>
    <row r="20" spans="1:9">
      <c r="A20" s="3471"/>
      <c r="B20" s="3473" t="s">
        <v>2488</v>
      </c>
      <c r="C20" s="3473"/>
      <c r="D20" s="2512">
        <f>SUM(D17:D19)</f>
        <v>0</v>
      </c>
      <c r="E20" s="2512"/>
      <c r="F20" s="2513"/>
      <c r="G20" s="2510"/>
      <c r="H20" s="2517"/>
      <c r="I20" s="2518">
        <f>SUM(I17:I19)</f>
        <v>0</v>
      </c>
    </row>
    <row r="21" spans="1:9">
      <c r="A21" s="3471" t="s">
        <v>2508</v>
      </c>
      <c r="B21" s="3474"/>
      <c r="C21" s="3474"/>
      <c r="D21" s="3474"/>
      <c r="E21" s="3474"/>
      <c r="F21" s="3474"/>
      <c r="G21" s="3474"/>
      <c r="H21" s="2522">
        <v>0.1</v>
      </c>
      <c r="I21" s="2515">
        <f>ROUND(I10*H21,0)</f>
        <v>0</v>
      </c>
    </row>
    <row r="22" spans="1:9" ht="14.25">
      <c r="A22" s="3475" t="s">
        <v>2509</v>
      </c>
      <c r="B22" s="3476"/>
      <c r="C22" s="3477"/>
      <c r="D22" s="2523" t="s">
        <v>2510</v>
      </c>
      <c r="E22" s="2523" t="s">
        <v>2511</v>
      </c>
      <c r="F22" s="2524" t="s">
        <v>2512</v>
      </c>
      <c r="G22" s="2524" t="s">
        <v>2513</v>
      </c>
      <c r="H22" s="2516" t="s">
        <v>2514</v>
      </c>
      <c r="I22" s="2507" t="s">
        <v>2515</v>
      </c>
    </row>
    <row r="23" spans="1:9" ht="14.25" thickBot="1">
      <c r="A23" s="3478"/>
      <c r="B23" s="3479"/>
      <c r="C23" s="3480"/>
      <c r="D23" s="2525"/>
      <c r="E23" s="2525"/>
      <c r="F23" s="2525"/>
      <c r="G23" s="2526"/>
      <c r="H23" s="2527"/>
      <c r="I23" s="2528">
        <f>ROUND(E23*D23*F23*(1-G23)/10000,0)</f>
        <v>0</v>
      </c>
    </row>
    <row r="26" spans="1:9">
      <c r="A26" s="2529" t="s">
        <v>2516</v>
      </c>
      <c r="B26" s="2529"/>
      <c r="C26" s="2529"/>
      <c r="D26" s="2529"/>
      <c r="E26" s="3468">
        <f>C27-C30-C31-C32</f>
        <v>0</v>
      </c>
      <c r="F26" s="3468"/>
      <c r="G26" s="3468"/>
      <c r="H26" s="3042" t="s">
        <v>2844</v>
      </c>
    </row>
    <row r="27" spans="1:9">
      <c r="A27" s="2530">
        <v>1</v>
      </c>
      <c r="B27" s="2531" t="s">
        <v>2517</v>
      </c>
      <c r="C27" s="2531"/>
      <c r="D27" s="2531"/>
      <c r="E27" s="3469"/>
      <c r="F27" s="3469"/>
      <c r="G27" s="3469"/>
    </row>
    <row r="28" spans="1:9">
      <c r="A28" s="2532" t="s">
        <v>2518</v>
      </c>
      <c r="B28" s="2531" t="s">
        <v>2519</v>
      </c>
      <c r="C28" s="2531"/>
      <c r="D28" s="2531"/>
      <c r="E28" s="3469"/>
      <c r="F28" s="3469"/>
      <c r="G28" s="3469"/>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70"/>
      <c r="F32" s="3470"/>
      <c r="G32" s="3470"/>
    </row>
    <row r="33" spans="1:7" hidden="1">
      <c r="A33" s="3465" t="s">
        <v>2527</v>
      </c>
      <c r="B33" s="3466"/>
      <c r="C33" s="3466"/>
      <c r="D33" s="3467"/>
      <c r="E33" s="3468"/>
      <c r="F33" s="3468"/>
      <c r="G33" s="3468"/>
    </row>
    <row r="34" spans="1:7" hidden="1">
      <c r="A34" s="2534">
        <v>1</v>
      </c>
      <c r="B34" s="2531" t="s">
        <v>2528</v>
      </c>
      <c r="C34" s="2531"/>
      <c r="D34" s="2531"/>
      <c r="E34" s="3469"/>
      <c r="F34" s="3469"/>
      <c r="G34" s="3469"/>
    </row>
    <row r="35" spans="1:7" hidden="1">
      <c r="A35" s="2534">
        <v>2</v>
      </c>
      <c r="B35" s="2531" t="s">
        <v>2529</v>
      </c>
      <c r="C35" s="2531"/>
      <c r="D35" s="2531"/>
      <c r="E35" s="3469"/>
      <c r="F35" s="3469"/>
      <c r="G35" s="3469"/>
    </row>
    <row r="36" spans="1:7" hidden="1">
      <c r="A36" s="2534">
        <v>3</v>
      </c>
      <c r="B36" s="2531" t="s">
        <v>2530</v>
      </c>
      <c r="C36" s="2531"/>
      <c r="D36" s="2531"/>
      <c r="E36" s="3469"/>
      <c r="F36" s="3469"/>
      <c r="G36" s="3469"/>
    </row>
    <row r="37" spans="1:7" hidden="1">
      <c r="A37" s="2534">
        <v>4</v>
      </c>
      <c r="B37" s="2531" t="s">
        <v>2531</v>
      </c>
      <c r="C37" s="2531"/>
      <c r="D37" s="2531"/>
      <c r="E37" s="3469"/>
      <c r="F37" s="3469"/>
      <c r="G37" s="3469"/>
    </row>
    <row r="38" spans="1:7" hidden="1">
      <c r="A38" s="3465" t="s">
        <v>2532</v>
      </c>
      <c r="B38" s="3466"/>
      <c r="C38" s="3466"/>
      <c r="D38" s="3467"/>
      <c r="E38" s="3468"/>
      <c r="F38" s="3468"/>
      <c r="G38" s="34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68">
        <v>1</v>
      </c>
      <c r="B7" s="747" t="s">
        <v>609</v>
      </c>
      <c r="C7" s="748">
        <f>C8+C9</f>
        <v>0</v>
      </c>
      <c r="D7" s="748"/>
      <c r="E7" s="749"/>
      <c r="F7" s="749"/>
      <c r="G7" s="2478"/>
    </row>
    <row r="8" spans="1:25" s="2182" customFormat="1" ht="13.5" customHeight="1">
      <c r="A8" s="2468" t="s">
        <v>2441</v>
      </c>
      <c r="B8" s="2471" t="s">
        <v>2443</v>
      </c>
      <c r="C8" s="2472"/>
      <c r="D8" s="748"/>
      <c r="E8" s="749"/>
      <c r="F8" s="749"/>
      <c r="G8" s="750"/>
    </row>
    <row r="9" spans="1:25" s="2182" customFormat="1" ht="13.5" customHeight="1">
      <c r="A9" s="2468" t="s">
        <v>2442</v>
      </c>
      <c r="B9" s="2471" t="s">
        <v>2444</v>
      </c>
      <c r="C9" s="2472"/>
      <c r="D9" s="748"/>
      <c r="E9" s="749"/>
      <c r="F9" s="749"/>
      <c r="G9" s="750"/>
    </row>
    <row r="10" spans="1:25" s="2182" customFormat="1" ht="36">
      <c r="A10" s="2468">
        <v>2</v>
      </c>
      <c r="B10" s="747" t="s">
        <v>613</v>
      </c>
      <c r="C10" s="748">
        <f>C11+C14+C15</f>
        <v>0</v>
      </c>
      <c r="D10" s="759">
        <f>'数据-汇总表'!E3</f>
        <v>275000</v>
      </c>
      <c r="E10" s="748">
        <f>'数据-取费表'!B31</f>
        <v>110</v>
      </c>
      <c r="F10" s="760"/>
      <c r="G10" s="758" t="s">
        <v>614</v>
      </c>
    </row>
    <row r="11" spans="1:25" s="2182" customFormat="1" ht="13.5" customHeight="1">
      <c r="A11" s="2468" t="s">
        <v>2441</v>
      </c>
      <c r="B11" s="751" t="s">
        <v>610</v>
      </c>
      <c r="C11" s="752">
        <f>'数据-取费表'!B29</f>
        <v>0</v>
      </c>
      <c r="D11" s="753"/>
      <c r="E11" s="752"/>
      <c r="F11" s="754"/>
      <c r="G11" s="2477" t="s">
        <v>2452</v>
      </c>
    </row>
    <row r="12" spans="1:25" s="2182" customFormat="1" ht="13.5" customHeight="1">
      <c r="A12" s="2475" t="s">
        <v>2449</v>
      </c>
      <c r="B12" s="755" t="s">
        <v>611</v>
      </c>
      <c r="C12" s="756">
        <f>ROUND(D12*E12/10000,0)</f>
        <v>2528</v>
      </c>
      <c r="D12" s="757">
        <f>'数据-汇总表'!E5</f>
        <v>180600</v>
      </c>
      <c r="E12" s="756">
        <f>'数据-取费表'!B27</f>
        <v>140</v>
      </c>
      <c r="F12" s="754"/>
      <c r="G12" s="758"/>
    </row>
    <row r="13" spans="1:25" s="2182" customFormat="1" ht="13.5" customHeight="1">
      <c r="A13" s="2475" t="s">
        <v>2448</v>
      </c>
      <c r="B13" s="755" t="s">
        <v>612</v>
      </c>
      <c r="C13" s="756">
        <f>ROUND(D13*E13/10000,0)</f>
        <v>1605</v>
      </c>
      <c r="D13" s="757">
        <f>'数据-汇总表'!E6</f>
        <v>94400</v>
      </c>
      <c r="E13" s="756">
        <f>'数据-取费表'!B28</f>
        <v>170</v>
      </c>
      <c r="F13" s="754"/>
      <c r="G13" s="758"/>
    </row>
    <row r="14" spans="1:25" s="2182" customFormat="1" ht="13.5" customHeight="1">
      <c r="A14" s="2468" t="s">
        <v>2442</v>
      </c>
      <c r="B14" s="2474" t="s">
        <v>2445</v>
      </c>
      <c r="C14" s="2472"/>
      <c r="D14" s="757"/>
      <c r="E14" s="756"/>
      <c r="F14" s="2473"/>
      <c r="G14" s="2476" t="s">
        <v>2450</v>
      </c>
    </row>
    <row r="15" spans="1:25" s="2182" customFormat="1" ht="13.5" customHeight="1">
      <c r="A15" s="2468" t="s">
        <v>2447</v>
      </c>
      <c r="B15" s="2474" t="s">
        <v>2446</v>
      </c>
      <c r="C15" s="2472"/>
      <c r="D15" s="757"/>
      <c r="E15" s="756"/>
      <c r="F15" s="2473"/>
      <c r="G15" s="2476" t="s">
        <v>2451</v>
      </c>
    </row>
    <row r="16" spans="1:25" s="2183" customFormat="1" ht="48">
      <c r="A16" s="2468">
        <v>3</v>
      </c>
      <c r="B16" s="747" t="s">
        <v>615</v>
      </c>
      <c r="C16" s="2472"/>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7" t="s">
        <v>616</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617</v>
      </c>
      <c r="C18" s="748">
        <f>ROUND((C7+C10+C16)*F18,0)</f>
        <v>0</v>
      </c>
      <c r="D18" s="761"/>
      <c r="E18" s="762"/>
      <c r="F18" s="760">
        <f>'数据-取费表'!Q16</f>
        <v>0.03</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625</v>
      </c>
      <c r="C22" s="748">
        <f ca="1">ROUND(C21*F22,0)</f>
        <v>0</v>
      </c>
      <c r="D22" s="759"/>
      <c r="E22" s="748"/>
      <c r="F22" s="765">
        <f>'数据-取费表'!AP16</f>
        <v>0.89200000000000002</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M30" sqref="M30"/>
    </sheetView>
  </sheetViews>
  <sheetFormatPr defaultRowHeight="14.25"/>
  <cols>
    <col min="1" max="1" width="10.5" style="1335" customWidth="1"/>
    <col min="2" max="2" width="15.75" style="1335" customWidth="1"/>
    <col min="3" max="3" width="20.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22" t="s">
        <v>719</v>
      </c>
      <c r="C1" s="2623" t="s">
        <v>720</v>
      </c>
      <c r="D1" s="2624" t="s">
        <v>923</v>
      </c>
      <c r="E1" s="2625"/>
      <c r="F1" s="2806" t="s">
        <v>3071</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t="e">
        <f>C49</f>
        <v>#DIV/0!</v>
      </c>
      <c r="C3" s="851" t="s">
        <v>722</v>
      </c>
      <c r="D3" s="850">
        <f>SUMIF('数据-汇总表'!$C19:$C33,D1,'数据-汇总表'!$E19:$E33)</f>
        <v>180600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10" t="s">
        <v>522</v>
      </c>
      <c r="D4" s="3411"/>
      <c r="E4" s="3435" t="s">
        <v>523</v>
      </c>
      <c r="F4" s="3436"/>
      <c r="G4" s="3410" t="s">
        <v>524</v>
      </c>
      <c r="H4" s="3411"/>
      <c r="I4" s="3410" t="s">
        <v>525</v>
      </c>
      <c r="J4" s="3411"/>
      <c r="K4" s="852" t="s">
        <v>526</v>
      </c>
      <c r="L4" s="2132"/>
      <c r="M4" s="2133"/>
      <c r="N4" s="2133"/>
      <c r="O4" s="2133"/>
      <c r="P4" s="3412" t="s">
        <v>527</v>
      </c>
      <c r="Q4" s="3413"/>
      <c r="R4" s="3398" t="s">
        <v>523</v>
      </c>
      <c r="S4" s="3399"/>
      <c r="T4" s="3398" t="s">
        <v>524</v>
      </c>
      <c r="U4" s="3399"/>
      <c r="V4" s="3418" t="s">
        <v>525</v>
      </c>
      <c r="W4" s="3418"/>
      <c r="X4" s="1565"/>
      <c r="Y4" s="3398" t="s">
        <v>527</v>
      </c>
      <c r="Z4" s="3399"/>
      <c r="AA4" s="3393" t="s">
        <v>523</v>
      </c>
      <c r="AB4" s="3393" t="s">
        <v>524</v>
      </c>
      <c r="AC4" s="3393" t="s">
        <v>525</v>
      </c>
    </row>
    <row r="5" spans="1:29" ht="15">
      <c r="A5" s="514"/>
      <c r="B5" s="515"/>
      <c r="C5" s="3421" t="s">
        <v>2925</v>
      </c>
      <c r="D5" s="3422"/>
      <c r="E5" s="3486" t="s">
        <v>3041</v>
      </c>
      <c r="F5" s="3438"/>
      <c r="G5" s="3487" t="s">
        <v>3068</v>
      </c>
      <c r="H5" s="3422"/>
      <c r="I5" s="3487" t="s">
        <v>3069</v>
      </c>
      <c r="J5" s="3422"/>
      <c r="K5" s="853"/>
      <c r="L5" s="2132"/>
      <c r="M5" s="2133"/>
      <c r="N5" s="2133"/>
      <c r="O5" s="2133"/>
      <c r="P5" s="3414"/>
      <c r="Q5" s="3415"/>
      <c r="R5" s="3400"/>
      <c r="S5" s="3401"/>
      <c r="T5" s="3400"/>
      <c r="U5" s="3401"/>
      <c r="V5" s="3418"/>
      <c r="W5" s="3418"/>
      <c r="X5" s="1565"/>
      <c r="Y5" s="3400"/>
      <c r="Z5" s="3401"/>
      <c r="AA5" s="3394"/>
      <c r="AB5" s="3394"/>
      <c r="AC5" s="3394"/>
    </row>
    <row r="6" spans="1:29" ht="30" customHeight="1" thickBot="1">
      <c r="A6" s="516"/>
      <c r="B6" s="517"/>
      <c r="C6" s="3419" t="s">
        <v>2929</v>
      </c>
      <c r="D6" s="3420"/>
      <c r="E6" s="3488" t="s">
        <v>3038</v>
      </c>
      <c r="F6" s="3440"/>
      <c r="G6" s="3489" t="s">
        <v>3061</v>
      </c>
      <c r="H6" s="3420"/>
      <c r="I6" s="3489" t="s">
        <v>3070</v>
      </c>
      <c r="J6" s="3420"/>
      <c r="K6" s="853" t="s">
        <v>528</v>
      </c>
      <c r="L6" s="2132"/>
      <c r="M6" s="2133"/>
      <c r="N6" s="2133"/>
      <c r="O6" s="2133"/>
      <c r="P6" s="3416"/>
      <c r="Q6" s="3417"/>
      <c r="R6" s="3400"/>
      <c r="S6" s="3401"/>
      <c r="T6" s="3402"/>
      <c r="U6" s="3403"/>
      <c r="V6" s="3418"/>
      <c r="W6" s="3418"/>
      <c r="X6" s="1565"/>
      <c r="Y6" s="3402"/>
      <c r="Z6" s="3403"/>
      <c r="AA6" s="3395"/>
      <c r="AB6" s="3395"/>
      <c r="AC6" s="3395"/>
    </row>
    <row r="7" spans="1:29" s="1218" customFormat="1" ht="15.75" thickBot="1">
      <c r="A7" s="2911"/>
      <c r="B7" s="2918" t="s">
        <v>529</v>
      </c>
      <c r="C7" s="518">
        <f>'数据-取费表'!B2</f>
        <v>43314</v>
      </c>
      <c r="D7" s="519">
        <v>100</v>
      </c>
      <c r="E7" s="520">
        <v>43282</v>
      </c>
      <c r="F7" s="521">
        <f>SUMIF(58:58,YEAR(E7)&amp;"-"&amp;MONTH(E7),59:59)</f>
        <v>0</v>
      </c>
      <c r="G7" s="520">
        <v>43282</v>
      </c>
      <c r="H7" s="519">
        <f>SUMIF(58:58,YEAR(G7)&amp;"-"&amp;MONTH(G7),59:59)</f>
        <v>0</v>
      </c>
      <c r="I7" s="520">
        <v>43282</v>
      </c>
      <c r="J7" s="519">
        <f>SUMIF(58:58,YEAR(I7)&amp;"-"&amp;MONTH(I7),59:59)</f>
        <v>0</v>
      </c>
      <c r="K7" s="854"/>
      <c r="L7" s="2134"/>
      <c r="M7" s="2135"/>
      <c r="N7" s="2135"/>
      <c r="O7" s="2135"/>
      <c r="P7" s="3396" t="s">
        <v>530</v>
      </c>
      <c r="Q7" s="3405"/>
      <c r="R7" s="1566" t="s">
        <v>13</v>
      </c>
      <c r="S7" s="1567">
        <f t="shared" ref="S7:S15" si="0">F7</f>
        <v>0</v>
      </c>
      <c r="T7" s="1566" t="s">
        <v>13</v>
      </c>
      <c r="U7" s="1567">
        <f t="shared" ref="U7:U15" si="1">H7</f>
        <v>0</v>
      </c>
      <c r="V7" s="1566" t="s">
        <v>13</v>
      </c>
      <c r="W7" s="1567">
        <f t="shared" ref="W7:W15" si="2">J7</f>
        <v>0</v>
      </c>
      <c r="X7" s="1568"/>
      <c r="Y7" s="3396" t="s">
        <v>530</v>
      </c>
      <c r="Z7" s="3397"/>
      <c r="AA7" s="1569" t="e">
        <f>D7/F7</f>
        <v>#DIV/0!</v>
      </c>
      <c r="AB7" s="1569" t="e">
        <f>D7/H7</f>
        <v>#DIV/0!</v>
      </c>
      <c r="AC7" s="1569" t="e">
        <f>D7/J7</f>
        <v>#DIV/0!</v>
      </c>
    </row>
    <row r="8" spans="1:29" s="1218" customFormat="1" ht="15.75" thickBot="1">
      <c r="A8" s="2912"/>
      <c r="B8" s="2919"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396" t="s">
        <v>533</v>
      </c>
      <c r="Q8" s="3397"/>
      <c r="R8" s="1566" t="s">
        <v>13</v>
      </c>
      <c r="S8" s="1567">
        <f t="shared" si="0"/>
        <v>100</v>
      </c>
      <c r="T8" s="1566" t="s">
        <v>13</v>
      </c>
      <c r="U8" s="1567">
        <f t="shared" si="1"/>
        <v>100</v>
      </c>
      <c r="V8" s="1566" t="s">
        <v>13</v>
      </c>
      <c r="W8" s="1567">
        <f t="shared" si="2"/>
        <v>100</v>
      </c>
      <c r="X8" s="1568"/>
      <c r="Y8" s="3396" t="s">
        <v>533</v>
      </c>
      <c r="Z8" s="3397"/>
      <c r="AA8" s="1569">
        <f t="shared" ref="AA8:AA46" si="3">D8/F8</f>
        <v>1</v>
      </c>
      <c r="AB8" s="1569">
        <f t="shared" ref="AB8:AB46" si="4">D8/H8</f>
        <v>1</v>
      </c>
      <c r="AC8" s="1569">
        <f t="shared" ref="AC8:AC46" si="5">D8/J8</f>
        <v>1</v>
      </c>
    </row>
    <row r="9" spans="1:29" s="1218" customFormat="1" ht="15">
      <c r="A9" s="2913"/>
      <c r="B9" s="2920" t="s">
        <v>2757</v>
      </c>
      <c r="C9" s="3187" t="s">
        <v>3040</v>
      </c>
      <c r="D9" s="253">
        <v>100</v>
      </c>
      <c r="E9" s="857" t="s">
        <v>923</v>
      </c>
      <c r="F9" s="858">
        <f>SUMIF(63:63,E9,64:64)-SUMIF(63:63,C9,64:64)+100</f>
        <v>100</v>
      </c>
      <c r="G9" s="857" t="s">
        <v>923</v>
      </c>
      <c r="H9" s="253">
        <f>SUMIF(63:63,G9,64:64)-SUMIF(63:63,C9,64:64)+100</f>
        <v>100</v>
      </c>
      <c r="I9" s="857" t="s">
        <v>923</v>
      </c>
      <c r="J9" s="253">
        <f>SUMIF(63:63,I9,64:64)-SUMIF(63:63,C9,64:64)+100</f>
        <v>100</v>
      </c>
      <c r="K9" s="854"/>
      <c r="L9" s="2134"/>
      <c r="M9" s="2135"/>
      <c r="N9" s="2135"/>
      <c r="O9" s="2136"/>
      <c r="P9" s="3404" t="s">
        <v>535</v>
      </c>
      <c r="Q9" s="1149" t="str">
        <f t="shared" ref="Q9:Q15" si="6">B9</f>
        <v>用途</v>
      </c>
      <c r="R9" s="1566" t="s">
        <v>8</v>
      </c>
      <c r="S9" s="1567">
        <f t="shared" si="0"/>
        <v>100</v>
      </c>
      <c r="T9" s="1566" t="s">
        <v>8</v>
      </c>
      <c r="U9" s="1567">
        <f t="shared" si="1"/>
        <v>100</v>
      </c>
      <c r="V9" s="1566" t="s">
        <v>8</v>
      </c>
      <c r="W9" s="1567">
        <f t="shared" si="2"/>
        <v>100</v>
      </c>
      <c r="X9" s="1568"/>
      <c r="Y9" s="3343" t="s">
        <v>536</v>
      </c>
      <c r="Z9" s="1148" t="str">
        <f t="shared" ref="Z9:Z15" si="7">Q9</f>
        <v>用途</v>
      </c>
      <c r="AA9" s="1569">
        <f t="shared" si="3"/>
        <v>1</v>
      </c>
      <c r="AB9" s="1569">
        <f t="shared" si="4"/>
        <v>1</v>
      </c>
      <c r="AC9" s="1569">
        <f t="shared" si="5"/>
        <v>1</v>
      </c>
    </row>
    <row r="10" spans="1:29" s="1336" customFormat="1" ht="27">
      <c r="A10" s="2914"/>
      <c r="B10" s="2919" t="s">
        <v>2758</v>
      </c>
      <c r="C10" s="860" t="s">
        <v>3039</v>
      </c>
      <c r="D10" s="254">
        <v>100</v>
      </c>
      <c r="E10" s="860" t="s">
        <v>3039</v>
      </c>
      <c r="F10" s="862">
        <f>SUMIF(65:65,E10,66:66)-SUMIF(65:65,C10,66:66)+100</f>
        <v>100</v>
      </c>
      <c r="G10" s="860" t="s">
        <v>3039</v>
      </c>
      <c r="H10" s="254">
        <f>SUMIF(65:65,G10,66:66)-SUMIF(65:65,C10,66:66)+100</f>
        <v>100</v>
      </c>
      <c r="I10" s="860" t="s">
        <v>3039</v>
      </c>
      <c r="J10" s="254">
        <f>SUMIF(65:65,I10,66:66)-SUMIF(65:65,C10,66:66)+100</f>
        <v>100</v>
      </c>
      <c r="K10" s="863">
        <v>1</v>
      </c>
      <c r="L10" s="2137"/>
      <c r="M10" s="2177"/>
      <c r="N10" s="2177"/>
      <c r="O10" s="2138"/>
      <c r="P10" s="3404"/>
      <c r="Q10" s="1149" t="str">
        <f t="shared" si="6"/>
        <v>土地使用年限（年）</v>
      </c>
      <c r="R10" s="1566" t="s">
        <v>8</v>
      </c>
      <c r="S10" s="1567">
        <f t="shared" si="0"/>
        <v>100</v>
      </c>
      <c r="T10" s="1566" t="s">
        <v>8</v>
      </c>
      <c r="U10" s="1567">
        <f t="shared" si="1"/>
        <v>100</v>
      </c>
      <c r="V10" s="1566" t="s">
        <v>8</v>
      </c>
      <c r="W10" s="1567">
        <f t="shared" si="2"/>
        <v>100</v>
      </c>
      <c r="X10" s="1568"/>
      <c r="Y10" s="3343"/>
      <c r="Z10" s="1148" t="str">
        <f t="shared" si="7"/>
        <v>土地使用年限（年）</v>
      </c>
      <c r="AA10" s="1569">
        <f t="shared" si="3"/>
        <v>1</v>
      </c>
      <c r="AB10" s="1569">
        <f t="shared" si="4"/>
        <v>1</v>
      </c>
      <c r="AC10" s="1569">
        <f t="shared" si="5"/>
        <v>1</v>
      </c>
    </row>
    <row r="11" spans="1:29" ht="15">
      <c r="A11" s="2915"/>
      <c r="B11" s="2919" t="s">
        <v>2759</v>
      </c>
      <c r="C11" s="532">
        <f>'比较法-住宅、综合'!C13</f>
        <v>2.48</v>
      </c>
      <c r="D11" s="254">
        <v>100</v>
      </c>
      <c r="E11" s="533">
        <v>1.5</v>
      </c>
      <c r="F11" s="862">
        <f>LOOKUP(E11,68:68,69:69)-LOOKUP(C11,68:68,69:69)+100</f>
        <v>102</v>
      </c>
      <c r="G11" s="532">
        <v>2.2000000000000002</v>
      </c>
      <c r="H11" s="254">
        <f>LOOKUP(G11,68:68,69:69)-LOOKUP(C11,68:68,69:69)+100</f>
        <v>100</v>
      </c>
      <c r="I11" s="532">
        <v>2.2000000000000002</v>
      </c>
      <c r="J11" s="254">
        <f>LOOKUP(I11,68:68,69:69)-LOOKUP(C11,68:68,69:69)+100</f>
        <v>100</v>
      </c>
      <c r="K11" s="863">
        <f>'比较法-住宅、综合'!K13</f>
        <v>2</v>
      </c>
      <c r="L11" s="2139"/>
      <c r="M11" s="2133"/>
      <c r="N11" s="2133"/>
      <c r="O11" s="2140"/>
      <c r="P11" s="3404"/>
      <c r="Q11" s="1149" t="str">
        <f t="shared" si="6"/>
        <v>容积率</v>
      </c>
      <c r="R11" s="1566" t="s">
        <v>11</v>
      </c>
      <c r="S11" s="1567">
        <f t="shared" si="0"/>
        <v>102</v>
      </c>
      <c r="T11" s="1566" t="s">
        <v>11</v>
      </c>
      <c r="U11" s="1567">
        <f t="shared" si="1"/>
        <v>100</v>
      </c>
      <c r="V11" s="1566" t="s">
        <v>11</v>
      </c>
      <c r="W11" s="1567">
        <f t="shared" si="2"/>
        <v>100</v>
      </c>
      <c r="X11" s="1568"/>
      <c r="Y11" s="3343"/>
      <c r="Z11" s="1148" t="str">
        <f t="shared" si="7"/>
        <v>容积率</v>
      </c>
      <c r="AA11" s="1569">
        <f t="shared" si="3"/>
        <v>0.98039215686274506</v>
      </c>
      <c r="AB11" s="1569">
        <f t="shared" si="4"/>
        <v>1</v>
      </c>
      <c r="AC11" s="1569">
        <f t="shared" si="5"/>
        <v>1</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04"/>
      <c r="Q12" s="1149">
        <f t="shared" si="6"/>
        <v>111</v>
      </c>
      <c r="R12" s="1566" t="s">
        <v>11</v>
      </c>
      <c r="S12" s="1567">
        <f t="shared" si="0"/>
        <v>100</v>
      </c>
      <c r="T12" s="1566" t="s">
        <v>11</v>
      </c>
      <c r="U12" s="1567">
        <f t="shared" si="1"/>
        <v>100</v>
      </c>
      <c r="V12" s="1566" t="s">
        <v>11</v>
      </c>
      <c r="W12" s="1567">
        <f t="shared" si="2"/>
        <v>100</v>
      </c>
      <c r="X12" s="1568"/>
      <c r="Y12" s="3343"/>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04"/>
      <c r="Q13" s="1149">
        <f t="shared" si="6"/>
        <v>111</v>
      </c>
      <c r="R13" s="1566" t="s">
        <v>11</v>
      </c>
      <c r="S13" s="1567">
        <f t="shared" si="0"/>
        <v>100</v>
      </c>
      <c r="T13" s="1566" t="s">
        <v>11</v>
      </c>
      <c r="U13" s="1567">
        <f t="shared" si="1"/>
        <v>100</v>
      </c>
      <c r="V13" s="1566" t="s">
        <v>11</v>
      </c>
      <c r="W13" s="1567">
        <f t="shared" si="2"/>
        <v>100</v>
      </c>
      <c r="X13" s="1568"/>
      <c r="Y13" s="3343"/>
      <c r="Z13" s="1148">
        <f t="shared" si="7"/>
        <v>111</v>
      </c>
      <c r="AA13" s="1569">
        <f t="shared" si="3"/>
        <v>1</v>
      </c>
      <c r="AB13" s="1569">
        <f t="shared" si="4"/>
        <v>1</v>
      </c>
      <c r="AC13" s="1569">
        <f t="shared" si="5"/>
        <v>1</v>
      </c>
    </row>
    <row r="14" spans="1:29" ht="15.75"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04"/>
      <c r="Q14" s="1149">
        <f t="shared" si="6"/>
        <v>111</v>
      </c>
      <c r="R14" s="1566" t="s">
        <v>11</v>
      </c>
      <c r="S14" s="1567">
        <f t="shared" si="0"/>
        <v>100</v>
      </c>
      <c r="T14" s="1566" t="s">
        <v>11</v>
      </c>
      <c r="U14" s="1567">
        <f t="shared" si="1"/>
        <v>100</v>
      </c>
      <c r="V14" s="1566" t="s">
        <v>11</v>
      </c>
      <c r="W14" s="1567">
        <f t="shared" si="2"/>
        <v>100</v>
      </c>
      <c r="X14" s="1568"/>
      <c r="Y14" s="3343"/>
      <c r="Z14" s="1148">
        <f t="shared" si="7"/>
        <v>111</v>
      </c>
      <c r="AA14" s="1569">
        <f t="shared" si="3"/>
        <v>1</v>
      </c>
      <c r="AB14" s="1569">
        <f t="shared" si="4"/>
        <v>1</v>
      </c>
      <c r="AC14" s="1569">
        <f t="shared" si="5"/>
        <v>1</v>
      </c>
    </row>
    <row r="15" spans="1:29" ht="85.5">
      <c r="A15" s="2909" t="s">
        <v>2755</v>
      </c>
      <c r="B15" s="165" t="s">
        <v>295</v>
      </c>
      <c r="C15" s="866" t="str">
        <f>估价对象房地状况!C3</f>
        <v>估价对象周边居住用地比例一般、居住小区规模和社区发展完善程度一般，有合生世界村、悦上城等小区，综合评价居住社区成熟度一般</v>
      </c>
      <c r="D15" s="548">
        <v>100</v>
      </c>
      <c r="E15" s="549" t="s">
        <v>3042</v>
      </c>
      <c r="F15" s="550">
        <f>SUMIF(76:76,E16,77:77)-SUMIF(76:76,C16,77:77)+100</f>
        <v>94</v>
      </c>
      <c r="G15" s="3182" t="s">
        <v>3062</v>
      </c>
      <c r="H15" s="548">
        <f>SUMIF(76:76,G16,77:77)-SUMIF(76:76,C16,77:77)+100</f>
        <v>100</v>
      </c>
      <c r="I15" s="3188" t="s">
        <v>3065</v>
      </c>
      <c r="J15" s="548">
        <f>SUMIF(76:76,I16,77:77)-SUMIF(76:76,C16,77:77)+100</f>
        <v>97</v>
      </c>
      <c r="K15" s="867">
        <f>'比较法-住宅、综合'!K17</f>
        <v>3</v>
      </c>
      <c r="L15" s="2141"/>
      <c r="M15" s="2133"/>
      <c r="N15" s="2133"/>
      <c r="O15" s="2140"/>
      <c r="P15" s="3406" t="s">
        <v>540</v>
      </c>
      <c r="Q15" s="1570" t="str">
        <f t="shared" si="6"/>
        <v>居住社区成熟度</v>
      </c>
      <c r="R15" s="1571" t="s">
        <v>11</v>
      </c>
      <c r="S15" s="1572">
        <f t="shared" si="0"/>
        <v>94</v>
      </c>
      <c r="T15" s="1571" t="s">
        <v>11</v>
      </c>
      <c r="U15" s="1572">
        <f t="shared" si="1"/>
        <v>100</v>
      </c>
      <c r="V15" s="1571" t="s">
        <v>11</v>
      </c>
      <c r="W15" s="1572">
        <f t="shared" si="2"/>
        <v>97</v>
      </c>
      <c r="X15" s="1565"/>
      <c r="Y15" s="3406" t="s">
        <v>540</v>
      </c>
      <c r="Z15" s="1573" t="str">
        <f t="shared" si="7"/>
        <v>居住社区成熟度</v>
      </c>
      <c r="AA15" s="1574">
        <f t="shared" si="3"/>
        <v>1.0638297872340425</v>
      </c>
      <c r="AB15" s="1574">
        <f t="shared" si="4"/>
        <v>1</v>
      </c>
      <c r="AC15" s="1574">
        <f t="shared" si="5"/>
        <v>1.0309278350515463</v>
      </c>
    </row>
    <row r="16" spans="1:29" ht="15">
      <c r="A16" s="531"/>
      <c r="B16" s="868"/>
      <c r="C16" s="575" t="s">
        <v>3011</v>
      </c>
      <c r="D16" s="554"/>
      <c r="E16" s="555" t="s">
        <v>3033</v>
      </c>
      <c r="F16" s="556"/>
      <c r="G16" s="557" t="s">
        <v>3011</v>
      </c>
      <c r="H16" s="558"/>
      <c r="I16" s="555" t="s">
        <v>3013</v>
      </c>
      <c r="J16" s="554"/>
      <c r="K16" s="869"/>
      <c r="L16" s="2141"/>
      <c r="M16" s="2133"/>
      <c r="N16" s="2133"/>
      <c r="O16" s="2140"/>
      <c r="P16" s="3407"/>
      <c r="Q16" s="1570"/>
      <c r="R16" s="1571"/>
      <c r="S16" s="1572"/>
      <c r="T16" s="1571"/>
      <c r="U16" s="1572"/>
      <c r="V16" s="1571"/>
      <c r="W16" s="1572"/>
      <c r="X16" s="1565"/>
      <c r="Y16" s="3407"/>
      <c r="Z16" s="1573"/>
      <c r="AA16" s="1574">
        <v>1</v>
      </c>
      <c r="AB16" s="1574">
        <v>1</v>
      </c>
      <c r="AC16" s="1574">
        <v>1</v>
      </c>
    </row>
    <row r="17" spans="1:29" ht="85.5">
      <c r="A17" s="531"/>
      <c r="B17" s="870" t="s">
        <v>296</v>
      </c>
      <c r="C17" s="871" t="str">
        <f>估价对象房地状况!C6</f>
        <v>估价对象周边道路状况一般、公共交通通达情况一般、停车便捷程度较好，有846、821等公交线路，综合评价交通便捷度较差</v>
      </c>
      <c r="D17" s="558">
        <v>100</v>
      </c>
      <c r="E17" s="561" t="s">
        <v>3043</v>
      </c>
      <c r="F17" s="562">
        <f>SUMIF(78:78,E18,79:79)-SUMIF(78:78,C18,79:79)+100</f>
        <v>96</v>
      </c>
      <c r="G17" s="563" t="s">
        <v>3063</v>
      </c>
      <c r="H17" s="564">
        <f>SUMIF(78:78,G18,79:79)-SUMIF(78:78,C18,79:79)+100</f>
        <v>100</v>
      </c>
      <c r="I17" s="561" t="s">
        <v>3066</v>
      </c>
      <c r="J17" s="564">
        <f>SUMIF(78:78,I18,79:79)-SUMIF(78:78,C18,79:79)+100</f>
        <v>98</v>
      </c>
      <c r="K17" s="867">
        <f>'比较法-住宅、综合'!K23</f>
        <v>2</v>
      </c>
      <c r="L17" s="2141"/>
      <c r="M17" s="2133"/>
      <c r="N17" s="2133"/>
      <c r="O17" s="2140"/>
      <c r="P17" s="3407"/>
      <c r="Q17" s="1570" t="str">
        <f>B17</f>
        <v>交通便捷度</v>
      </c>
      <c r="R17" s="1571" t="s">
        <v>11</v>
      </c>
      <c r="S17" s="1572">
        <f>F17</f>
        <v>96</v>
      </c>
      <c r="T17" s="1571" t="s">
        <v>11</v>
      </c>
      <c r="U17" s="1572">
        <f>H17</f>
        <v>100</v>
      </c>
      <c r="V17" s="1571" t="s">
        <v>11</v>
      </c>
      <c r="W17" s="1572">
        <f>J17</f>
        <v>98</v>
      </c>
      <c r="X17" s="1565"/>
      <c r="Y17" s="3407"/>
      <c r="Z17" s="1573" t="str">
        <f>Q17</f>
        <v>交通便捷度</v>
      </c>
      <c r="AA17" s="1574">
        <f t="shared" si="3"/>
        <v>1.0416666666666667</v>
      </c>
      <c r="AB17" s="1574">
        <f t="shared" si="4"/>
        <v>1</v>
      </c>
      <c r="AC17" s="1574">
        <f t="shared" si="5"/>
        <v>1.0204081632653061</v>
      </c>
    </row>
    <row r="18" spans="1:29" ht="15">
      <c r="A18" s="531"/>
      <c r="B18" s="594"/>
      <c r="C18" s="872" t="s">
        <v>3011</v>
      </c>
      <c r="D18" s="558"/>
      <c r="E18" s="567" t="s">
        <v>3033</v>
      </c>
      <c r="F18" s="562"/>
      <c r="G18" s="568" t="s">
        <v>3011</v>
      </c>
      <c r="H18" s="554"/>
      <c r="I18" s="567" t="s">
        <v>3013</v>
      </c>
      <c r="J18" s="554"/>
      <c r="K18" s="869"/>
      <c r="L18" s="2141"/>
      <c r="M18" s="2133"/>
      <c r="N18" s="2133"/>
      <c r="O18" s="2140"/>
      <c r="P18" s="3407"/>
      <c r="Q18" s="1570"/>
      <c r="R18" s="1571"/>
      <c r="S18" s="1572"/>
      <c r="T18" s="1571"/>
      <c r="U18" s="1572"/>
      <c r="V18" s="1571"/>
      <c r="W18" s="1572"/>
      <c r="X18" s="1565"/>
      <c r="Y18" s="3407"/>
      <c r="Z18" s="1573"/>
      <c r="AA18" s="1574">
        <v>1</v>
      </c>
      <c r="AB18" s="1574">
        <v>1</v>
      </c>
      <c r="AC18" s="1574">
        <v>1</v>
      </c>
    </row>
    <row r="19" spans="1:29" ht="28.5">
      <c r="A19" s="531"/>
      <c r="B19" s="2599" t="s">
        <v>2547</v>
      </c>
      <c r="C19" s="871" t="str">
        <f>估价对象房地状况!C7</f>
        <v>估价对象所在区域公共配套设施齐备情况较差</v>
      </c>
      <c r="D19" s="564">
        <v>100</v>
      </c>
      <c r="E19" s="569"/>
      <c r="F19" s="570">
        <f>SUMIF(80:80,E20,81:81)-SUMIF(80:80,C20,81:81)+100</f>
        <v>98</v>
      </c>
      <c r="G19" s="571"/>
      <c r="H19" s="558">
        <f>SUMIF(80:80,G20,81:81)-SUMIF(80:80,C20,81:81)+100</f>
        <v>100</v>
      </c>
      <c r="I19" s="569"/>
      <c r="J19" s="558">
        <f>SUMIF(80:80,I20,81:81)-SUMIF(80:80,C20,81:81)+100</f>
        <v>100</v>
      </c>
      <c r="K19" s="867">
        <v>2</v>
      </c>
      <c r="L19" s="2141"/>
      <c r="M19" s="2133"/>
      <c r="N19" s="2133"/>
      <c r="O19" s="2140"/>
      <c r="P19" s="3407"/>
      <c r="Q19" s="1570" t="str">
        <f>B19</f>
        <v>公共配套设施</v>
      </c>
      <c r="R19" s="1571" t="s">
        <v>11</v>
      </c>
      <c r="S19" s="1572">
        <f>F19</f>
        <v>98</v>
      </c>
      <c r="T19" s="1571" t="s">
        <v>11</v>
      </c>
      <c r="U19" s="1572">
        <f>H19</f>
        <v>100</v>
      </c>
      <c r="V19" s="1571" t="s">
        <v>11</v>
      </c>
      <c r="W19" s="1572">
        <f>J19</f>
        <v>100</v>
      </c>
      <c r="X19" s="1565"/>
      <c r="Y19" s="3407"/>
      <c r="Z19" s="1573" t="str">
        <f>Q19</f>
        <v>公共配套设施</v>
      </c>
      <c r="AA19" s="1574">
        <f t="shared" si="3"/>
        <v>1.0204081632653061</v>
      </c>
      <c r="AB19" s="1574">
        <f t="shared" si="4"/>
        <v>1</v>
      </c>
      <c r="AC19" s="1574">
        <f t="shared" si="5"/>
        <v>1</v>
      </c>
    </row>
    <row r="20" spans="1:29" ht="15">
      <c r="A20" s="531"/>
      <c r="B20" s="594"/>
      <c r="C20" s="575" t="s">
        <v>3013</v>
      </c>
      <c r="D20" s="554"/>
      <c r="E20" s="555" t="s">
        <v>3033</v>
      </c>
      <c r="F20" s="556"/>
      <c r="G20" s="575" t="s">
        <v>3013</v>
      </c>
      <c r="H20" s="554"/>
      <c r="I20" s="575" t="s">
        <v>3013</v>
      </c>
      <c r="J20" s="554"/>
      <c r="K20" s="869"/>
      <c r="L20" s="2141"/>
      <c r="M20" s="2133"/>
      <c r="N20" s="2133"/>
      <c r="O20" s="2140"/>
      <c r="P20" s="3407"/>
      <c r="Q20" s="1570"/>
      <c r="R20" s="1571"/>
      <c r="S20" s="1572"/>
      <c r="T20" s="1571"/>
      <c r="U20" s="1572"/>
      <c r="V20" s="1571"/>
      <c r="W20" s="1572"/>
      <c r="X20" s="1565"/>
      <c r="Y20" s="3407"/>
      <c r="Z20" s="1573"/>
      <c r="AA20" s="1574">
        <v>1</v>
      </c>
      <c r="AB20" s="1574">
        <v>1</v>
      </c>
      <c r="AC20" s="1574">
        <v>1</v>
      </c>
    </row>
    <row r="21" spans="1:29" ht="15">
      <c r="A21" s="531"/>
      <c r="B21" s="2592"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41"/>
      <c r="M21" s="2133"/>
      <c r="N21" s="2133"/>
      <c r="O21" s="2140"/>
      <c r="P21" s="3407"/>
      <c r="Q21" s="2578" t="str">
        <f>B21</f>
        <v>基础设施水平</v>
      </c>
      <c r="R21" s="1571" t="s">
        <v>11</v>
      </c>
      <c r="S21" s="1572">
        <f>F21</f>
        <v>100</v>
      </c>
      <c r="T21" s="1571" t="s">
        <v>11</v>
      </c>
      <c r="U21" s="1572">
        <f>H21</f>
        <v>100</v>
      </c>
      <c r="V21" s="1571" t="s">
        <v>11</v>
      </c>
      <c r="W21" s="1572">
        <f>J21</f>
        <v>100</v>
      </c>
      <c r="X21" s="2580"/>
      <c r="Y21" s="3407"/>
      <c r="Z21" s="2579" t="str">
        <f>Q21</f>
        <v>基础设施水平</v>
      </c>
      <c r="AA21" s="1574">
        <f t="shared" ref="AA21" si="8">D21/F21</f>
        <v>1</v>
      </c>
      <c r="AB21" s="1574">
        <f t="shared" ref="AB21" si="9">D21/H21</f>
        <v>1</v>
      </c>
      <c r="AC21" s="1574">
        <f t="shared" ref="AC21" si="10">D21/J21</f>
        <v>1</v>
      </c>
    </row>
    <row r="22" spans="1:29" ht="15">
      <c r="A22" s="531"/>
      <c r="B22" s="920"/>
      <c r="C22" s="872" t="s">
        <v>3009</v>
      </c>
      <c r="D22" s="554"/>
      <c r="E22" s="872" t="s">
        <v>3009</v>
      </c>
      <c r="F22" s="556"/>
      <c r="G22" s="872" t="s">
        <v>3009</v>
      </c>
      <c r="H22" s="554"/>
      <c r="I22" s="872" t="s">
        <v>3009</v>
      </c>
      <c r="J22" s="554"/>
      <c r="K22" s="2598"/>
      <c r="L22" s="2141"/>
      <c r="M22" s="2133"/>
      <c r="N22" s="2133"/>
      <c r="O22" s="2140"/>
      <c r="P22" s="3407"/>
      <c r="Q22" s="2578"/>
      <c r="R22" s="1571"/>
      <c r="S22" s="1572"/>
      <c r="T22" s="1571"/>
      <c r="U22" s="1572"/>
      <c r="V22" s="1571"/>
      <c r="W22" s="1572"/>
      <c r="X22" s="2580"/>
      <c r="Y22" s="3407"/>
      <c r="Z22" s="2579"/>
      <c r="AA22" s="1574">
        <v>1</v>
      </c>
      <c r="AB22" s="1574">
        <v>1</v>
      </c>
      <c r="AC22" s="1574">
        <v>1</v>
      </c>
    </row>
    <row r="23" spans="1:29" ht="27.75">
      <c r="A23" s="531"/>
      <c r="B23" s="870" t="s">
        <v>297</v>
      </c>
      <c r="C23" s="871" t="str">
        <f>估价对象房地状况!C9</f>
        <v>综合评价环境状况较差</v>
      </c>
      <c r="D23" s="558">
        <v>100</v>
      </c>
      <c r="E23" s="3183" t="s">
        <v>3044</v>
      </c>
      <c r="F23" s="562">
        <f>SUMIF(84:84,E24,85:85)-SUMIF(84:84,C24,85:85)+100</f>
        <v>100</v>
      </c>
      <c r="G23" s="3184" t="s">
        <v>3064</v>
      </c>
      <c r="H23" s="558">
        <f>SUMIF(84:84,G24,85:85)-SUMIF(84:84,C24,85:85)+100</f>
        <v>100</v>
      </c>
      <c r="I23" s="563" t="s">
        <v>3067</v>
      </c>
      <c r="J23" s="558">
        <f>SUMIF(84:84,I24,85:85)-SUMIF(84:84,C24,85:85)+100</f>
        <v>98</v>
      </c>
      <c r="K23" s="867">
        <f>'比较法-住宅、综合'!K27</f>
        <v>2</v>
      </c>
      <c r="L23" s="2141"/>
      <c r="M23" s="2133"/>
      <c r="N23" s="2133"/>
      <c r="O23" s="2140"/>
      <c r="P23" s="3407"/>
      <c r="Q23" s="1570" t="str">
        <f>B23</f>
        <v>自然及人文环境</v>
      </c>
      <c r="R23" s="1571" t="s">
        <v>11</v>
      </c>
      <c r="S23" s="1572">
        <f>F23</f>
        <v>100</v>
      </c>
      <c r="T23" s="1571" t="s">
        <v>11</v>
      </c>
      <c r="U23" s="1572">
        <f>H23</f>
        <v>100</v>
      </c>
      <c r="V23" s="1571" t="s">
        <v>11</v>
      </c>
      <c r="W23" s="1572">
        <f>J23</f>
        <v>98</v>
      </c>
      <c r="X23" s="1565"/>
      <c r="Y23" s="3407"/>
      <c r="Z23" s="1573" t="str">
        <f>Q23</f>
        <v>自然及人文环境</v>
      </c>
      <c r="AA23" s="1574">
        <f t="shared" si="3"/>
        <v>1</v>
      </c>
      <c r="AB23" s="1574">
        <f t="shared" si="4"/>
        <v>1</v>
      </c>
      <c r="AC23" s="1574">
        <f t="shared" si="5"/>
        <v>1.0204081632653061</v>
      </c>
    </row>
    <row r="24" spans="1:29" ht="15">
      <c r="A24" s="531"/>
      <c r="B24" s="594"/>
      <c r="C24" s="575" t="s">
        <v>3011</v>
      </c>
      <c r="D24" s="554"/>
      <c r="E24" s="555" t="s">
        <v>3011</v>
      </c>
      <c r="F24" s="556"/>
      <c r="G24" s="557" t="s">
        <v>3011</v>
      </c>
      <c r="H24" s="554"/>
      <c r="I24" s="555" t="s">
        <v>3013</v>
      </c>
      <c r="J24" s="554"/>
      <c r="K24" s="869"/>
      <c r="L24" s="2141"/>
      <c r="M24" s="2133"/>
      <c r="N24" s="2133"/>
      <c r="O24" s="2140"/>
      <c r="P24" s="3407"/>
      <c r="Q24" s="1570"/>
      <c r="R24" s="1571"/>
      <c r="S24" s="1572"/>
      <c r="T24" s="1571"/>
      <c r="U24" s="1572"/>
      <c r="V24" s="1571"/>
      <c r="W24" s="1572"/>
      <c r="X24" s="1565"/>
      <c r="Y24" s="3407"/>
      <c r="Z24" s="1573"/>
      <c r="AA24" s="1574">
        <v>1</v>
      </c>
      <c r="AB24" s="1574">
        <v>1</v>
      </c>
      <c r="AC24" s="1574">
        <v>1</v>
      </c>
    </row>
    <row r="25" spans="1:29" ht="15">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07"/>
      <c r="Q25" s="1570" t="str">
        <f t="shared" ref="Q25:Q46" si="11">B25</f>
        <v>楼层-1</v>
      </c>
      <c r="R25" s="1571" t="s">
        <v>11</v>
      </c>
      <c r="S25" s="1572">
        <f>F25</f>
        <v>100</v>
      </c>
      <c r="T25" s="1571" t="s">
        <v>11</v>
      </c>
      <c r="U25" s="1572">
        <f>H25</f>
        <v>100</v>
      </c>
      <c r="V25" s="1571" t="s">
        <v>11</v>
      </c>
      <c r="W25" s="1572">
        <f>J25</f>
        <v>100</v>
      </c>
      <c r="X25" s="1565"/>
      <c r="Y25" s="3407"/>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07"/>
      <c r="Q26" s="1570" t="str">
        <f t="shared" si="11"/>
        <v>朝向</v>
      </c>
      <c r="R26" s="1571" t="s">
        <v>11</v>
      </c>
      <c r="S26" s="1572">
        <f>F26</f>
        <v>100</v>
      </c>
      <c r="T26" s="1571" t="s">
        <v>11</v>
      </c>
      <c r="U26" s="1572">
        <f>H26</f>
        <v>100</v>
      </c>
      <c r="V26" s="1571" t="s">
        <v>11</v>
      </c>
      <c r="W26" s="1572">
        <f>J26</f>
        <v>100</v>
      </c>
      <c r="X26" s="1565"/>
      <c r="Y26" s="3407"/>
      <c r="Z26" s="1573" t="str">
        <f>Q26</f>
        <v>朝向</v>
      </c>
      <c r="AA26" s="1574">
        <f t="shared" si="3"/>
        <v>1</v>
      </c>
      <c r="AB26" s="1574">
        <f t="shared" si="4"/>
        <v>1</v>
      </c>
      <c r="AC26" s="1574">
        <f t="shared" si="5"/>
        <v>1</v>
      </c>
    </row>
    <row r="27" spans="1:29" s="1218"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407"/>
      <c r="Q27" s="1149" t="str">
        <f t="shared" si="11"/>
        <v>道路级别</v>
      </c>
      <c r="R27" s="1566" t="s">
        <v>11</v>
      </c>
      <c r="S27" s="1567">
        <f>F27</f>
        <v>100</v>
      </c>
      <c r="T27" s="1566" t="s">
        <v>11</v>
      </c>
      <c r="U27" s="1567">
        <f>H27</f>
        <v>100</v>
      </c>
      <c r="V27" s="1566" t="s">
        <v>11</v>
      </c>
      <c r="W27" s="1567">
        <f>J27</f>
        <v>100</v>
      </c>
      <c r="X27" s="1568"/>
      <c r="Y27" s="3407"/>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07"/>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7"/>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07"/>
      <c r="Q29" s="1570">
        <f t="shared" si="11"/>
        <v>111</v>
      </c>
      <c r="R29" s="1571" t="s">
        <v>11</v>
      </c>
      <c r="S29" s="1572">
        <f t="shared" si="12"/>
        <v>100</v>
      </c>
      <c r="T29" s="1571" t="s">
        <v>11</v>
      </c>
      <c r="U29" s="1572">
        <f t="shared" si="13"/>
        <v>100</v>
      </c>
      <c r="V29" s="1571" t="s">
        <v>11</v>
      </c>
      <c r="W29" s="1572">
        <f t="shared" si="14"/>
        <v>100</v>
      </c>
      <c r="X29" s="1565"/>
      <c r="Y29" s="340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07"/>
      <c r="Q30" s="1570">
        <f t="shared" si="11"/>
        <v>111</v>
      </c>
      <c r="R30" s="1571" t="s">
        <v>11</v>
      </c>
      <c r="S30" s="1572">
        <f t="shared" si="12"/>
        <v>100</v>
      </c>
      <c r="T30" s="1571" t="s">
        <v>11</v>
      </c>
      <c r="U30" s="1572">
        <f t="shared" si="13"/>
        <v>100</v>
      </c>
      <c r="V30" s="1571" t="s">
        <v>11</v>
      </c>
      <c r="W30" s="1572">
        <f t="shared" si="14"/>
        <v>100</v>
      </c>
      <c r="X30" s="1565"/>
      <c r="Y30" s="3407"/>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07"/>
      <c r="Q31" s="1570">
        <f t="shared" si="11"/>
        <v>111</v>
      </c>
      <c r="R31" s="1571" t="s">
        <v>11</v>
      </c>
      <c r="S31" s="1572">
        <f t="shared" si="12"/>
        <v>100</v>
      </c>
      <c r="T31" s="1571" t="s">
        <v>11</v>
      </c>
      <c r="U31" s="1572">
        <f t="shared" si="13"/>
        <v>100</v>
      </c>
      <c r="V31" s="1571" t="s">
        <v>11</v>
      </c>
      <c r="W31" s="1572">
        <f t="shared" si="14"/>
        <v>100</v>
      </c>
      <c r="X31" s="1565"/>
      <c r="Y31" s="3407"/>
      <c r="Z31" s="1573">
        <f t="shared" si="15"/>
        <v>111</v>
      </c>
      <c r="AA31" s="1574">
        <f t="shared" si="3"/>
        <v>1</v>
      </c>
      <c r="AB31" s="1574">
        <f t="shared" si="4"/>
        <v>1</v>
      </c>
      <c r="AC31" s="1574">
        <f t="shared" si="5"/>
        <v>1</v>
      </c>
    </row>
    <row r="32" spans="1:29" ht="15">
      <c r="A32" s="2906" t="s">
        <v>2756</v>
      </c>
      <c r="B32" s="171" t="s">
        <v>725</v>
      </c>
      <c r="C32" s="877" t="s">
        <v>3078</v>
      </c>
      <c r="D32" s="596">
        <v>100</v>
      </c>
      <c r="E32" s="877" t="s">
        <v>3055</v>
      </c>
      <c r="F32" s="574">
        <f>SUMIF(100:100,E32,101:101)-SUMIF(100:100,C32,101:101)+100</f>
        <v>90</v>
      </c>
      <c r="G32" s="877" t="s">
        <v>3055</v>
      </c>
      <c r="H32" s="596">
        <f>SUMIF(100:100,G32,101:101)-SUMIF(100:100,C32,101:101)+100</f>
        <v>90</v>
      </c>
      <c r="I32" s="877" t="s">
        <v>3055</v>
      </c>
      <c r="J32" s="539">
        <f>SUMIF(100:100,I32,101:101)-SUMIF(100:100,C32,101:101)+100</f>
        <v>90</v>
      </c>
      <c r="K32" s="863">
        <v>10</v>
      </c>
      <c r="L32" s="2141"/>
      <c r="M32" s="2133"/>
      <c r="N32" s="2133"/>
      <c r="O32" s="2140"/>
      <c r="P32" s="3408" t="s">
        <v>550</v>
      </c>
      <c r="Q32" s="1570" t="str">
        <f t="shared" si="11"/>
        <v>建筑类型</v>
      </c>
      <c r="R32" s="1571" t="s">
        <v>11</v>
      </c>
      <c r="S32" s="1572">
        <f t="shared" si="12"/>
        <v>90</v>
      </c>
      <c r="T32" s="1571" t="s">
        <v>11</v>
      </c>
      <c r="U32" s="1572">
        <f t="shared" si="13"/>
        <v>90</v>
      </c>
      <c r="V32" s="1571" t="s">
        <v>11</v>
      </c>
      <c r="W32" s="1572">
        <f t="shared" si="14"/>
        <v>90</v>
      </c>
      <c r="X32" s="1565"/>
      <c r="Y32" s="3409" t="s">
        <v>550</v>
      </c>
      <c r="Z32" s="1573" t="str">
        <f t="shared" si="15"/>
        <v>建筑类型</v>
      </c>
      <c r="AA32" s="1574">
        <f t="shared" si="3"/>
        <v>1.1111111111111112</v>
      </c>
      <c r="AB32" s="1574">
        <f t="shared" si="4"/>
        <v>1.1111111111111112</v>
      </c>
      <c r="AC32" s="1574">
        <f t="shared" si="5"/>
        <v>1.1111111111111112</v>
      </c>
    </row>
    <row r="33" spans="1:29" s="1337" customFormat="1" ht="15">
      <c r="A33" s="602"/>
      <c r="B33" s="526" t="s">
        <v>726</v>
      </c>
      <c r="C33" s="878"/>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9"/>
      <c r="M33" s="2170"/>
      <c r="N33" s="2170"/>
      <c r="O33" s="2142"/>
      <c r="P33" s="3409"/>
      <c r="Q33" s="1603" t="str">
        <f t="shared" si="11"/>
        <v>项目建筑规模</v>
      </c>
      <c r="R33" s="1575" t="s">
        <v>11</v>
      </c>
      <c r="S33" s="1576">
        <f t="shared" si="12"/>
        <v>100</v>
      </c>
      <c r="T33" s="1575" t="s">
        <v>11</v>
      </c>
      <c r="U33" s="1576">
        <f t="shared" si="13"/>
        <v>100</v>
      </c>
      <c r="V33" s="1575" t="s">
        <v>11</v>
      </c>
      <c r="W33" s="1576">
        <f t="shared" si="14"/>
        <v>100</v>
      </c>
      <c r="X33" s="1577"/>
      <c r="Y33" s="3409"/>
      <c r="Z33" s="1578" t="str">
        <f t="shared" si="15"/>
        <v>项目建筑规模</v>
      </c>
      <c r="AA33" s="1574">
        <f t="shared" si="3"/>
        <v>1</v>
      </c>
      <c r="AB33" s="1574">
        <f t="shared" si="4"/>
        <v>1</v>
      </c>
      <c r="AC33" s="1574">
        <f t="shared" si="5"/>
        <v>1</v>
      </c>
    </row>
    <row r="34" spans="1:29" ht="15">
      <c r="A34" s="593"/>
      <c r="B34" s="526" t="s">
        <v>727</v>
      </c>
      <c r="C34" s="879" t="s">
        <v>3056</v>
      </c>
      <c r="D34" s="539">
        <v>100</v>
      </c>
      <c r="E34" s="879" t="s">
        <v>3056</v>
      </c>
      <c r="F34" s="574">
        <f>SUMIF(105:105,E34,106:106)-SUMIF(105:105,C34,106:106)+100</f>
        <v>100</v>
      </c>
      <c r="G34" s="879" t="s">
        <v>3056</v>
      </c>
      <c r="H34" s="539">
        <f>SUMIF(105:105,G34,106:106)-SUMIF(105:105,C34,106:106)+100</f>
        <v>100</v>
      </c>
      <c r="I34" s="879" t="s">
        <v>3056</v>
      </c>
      <c r="J34" s="539">
        <f>SUMIF(105:105,I34,106:106)-SUMIF(105:105,C34,106:106)+100</f>
        <v>100</v>
      </c>
      <c r="K34" s="863">
        <v>2</v>
      </c>
      <c r="L34" s="2141"/>
      <c r="M34" s="2133"/>
      <c r="N34" s="2133"/>
      <c r="O34" s="2140"/>
      <c r="P34" s="3409"/>
      <c r="Q34" s="1570" t="str">
        <f t="shared" si="11"/>
        <v>建筑结构</v>
      </c>
      <c r="R34" s="1571" t="s">
        <v>11</v>
      </c>
      <c r="S34" s="1572">
        <f t="shared" si="12"/>
        <v>100</v>
      </c>
      <c r="T34" s="1571" t="s">
        <v>11</v>
      </c>
      <c r="U34" s="1572">
        <f t="shared" si="13"/>
        <v>100</v>
      </c>
      <c r="V34" s="1571" t="s">
        <v>11</v>
      </c>
      <c r="W34" s="1572">
        <f t="shared" si="14"/>
        <v>100</v>
      </c>
      <c r="X34" s="1565"/>
      <c r="Y34" s="3409"/>
      <c r="Z34" s="1573" t="str">
        <f t="shared" si="15"/>
        <v>建筑结构</v>
      </c>
      <c r="AA34" s="1574">
        <f t="shared" si="3"/>
        <v>1</v>
      </c>
      <c r="AB34" s="1574">
        <f t="shared" si="4"/>
        <v>1</v>
      </c>
      <c r="AC34" s="1574">
        <f t="shared" si="5"/>
        <v>1</v>
      </c>
    </row>
    <row r="35" spans="1:29" ht="15">
      <c r="A35" s="593"/>
      <c r="B35" s="526" t="s">
        <v>728</v>
      </c>
      <c r="C35" s="598" t="s">
        <v>3057</v>
      </c>
      <c r="D35" s="539">
        <v>100</v>
      </c>
      <c r="E35" s="598" t="s">
        <v>3057</v>
      </c>
      <c r="F35" s="574">
        <f>SUMIF(107:107,E35,108:108)-SUMIF(107:107,C35,108:108)+100</f>
        <v>100</v>
      </c>
      <c r="G35" s="598" t="s">
        <v>3057</v>
      </c>
      <c r="H35" s="539">
        <f>SUMIF(107:107,G35,108:108)-SUMIF(107:107,C35,108:108)+100</f>
        <v>100</v>
      </c>
      <c r="I35" s="598" t="s">
        <v>3057</v>
      </c>
      <c r="J35" s="539">
        <f>SUMIF(107:107,I35,108:108)-SUMIF(107:107,C35,108:108)+100</f>
        <v>100</v>
      </c>
      <c r="K35" s="863">
        <v>2</v>
      </c>
      <c r="L35" s="2141"/>
      <c r="M35" s="2133"/>
      <c r="N35" s="2133"/>
      <c r="O35" s="2140"/>
      <c r="P35" s="3409"/>
      <c r="Q35" s="1570" t="str">
        <f t="shared" si="11"/>
        <v>建筑品质</v>
      </c>
      <c r="R35" s="1571" t="s">
        <v>11</v>
      </c>
      <c r="S35" s="1572">
        <f t="shared" si="12"/>
        <v>100</v>
      </c>
      <c r="T35" s="1571" t="s">
        <v>11</v>
      </c>
      <c r="U35" s="1572">
        <f t="shared" si="13"/>
        <v>100</v>
      </c>
      <c r="V35" s="1571" t="s">
        <v>11</v>
      </c>
      <c r="W35" s="1572">
        <f t="shared" si="14"/>
        <v>100</v>
      </c>
      <c r="X35" s="1565"/>
      <c r="Y35" s="3409"/>
      <c r="Z35" s="1573" t="str">
        <f t="shared" si="15"/>
        <v>建筑品质</v>
      </c>
      <c r="AA35" s="1574">
        <f t="shared" si="3"/>
        <v>1</v>
      </c>
      <c r="AB35" s="1574">
        <f t="shared" si="4"/>
        <v>1</v>
      </c>
      <c r="AC35" s="1574">
        <f t="shared" si="5"/>
        <v>1</v>
      </c>
    </row>
    <row r="36" spans="1:29" ht="15">
      <c r="A36" s="593"/>
      <c r="B36" s="526" t="s">
        <v>729</v>
      </c>
      <c r="C36" s="598" t="s">
        <v>3058</v>
      </c>
      <c r="D36" s="539">
        <v>100</v>
      </c>
      <c r="E36" s="598" t="s">
        <v>3058</v>
      </c>
      <c r="F36" s="574">
        <f>SUMIF(109:109,E36,110:110)-SUMIF(109:109,C36,110:110)+100</f>
        <v>100</v>
      </c>
      <c r="G36" s="598" t="s">
        <v>3058</v>
      </c>
      <c r="H36" s="539">
        <f>SUMIF(109:109,G36,110:110)-SUMIF(109:109,C36,110:110)+100</f>
        <v>100</v>
      </c>
      <c r="I36" s="598" t="s">
        <v>3058</v>
      </c>
      <c r="J36" s="539">
        <f>SUMIF(109:109,I36,110:110)-SUMIF(109:109,C36,110:110)+100</f>
        <v>100</v>
      </c>
      <c r="K36" s="863">
        <v>3</v>
      </c>
      <c r="L36" s="2141"/>
      <c r="M36" s="2133"/>
      <c r="N36" s="2133"/>
      <c r="O36" s="2140"/>
      <c r="P36" s="3409"/>
      <c r="Q36" s="1570" t="str">
        <f t="shared" si="11"/>
        <v>公共部分装修</v>
      </c>
      <c r="R36" s="1571" t="s">
        <v>11</v>
      </c>
      <c r="S36" s="1572">
        <f t="shared" si="12"/>
        <v>100</v>
      </c>
      <c r="T36" s="1571" t="s">
        <v>11</v>
      </c>
      <c r="U36" s="1572">
        <f t="shared" si="13"/>
        <v>100</v>
      </c>
      <c r="V36" s="1571" t="s">
        <v>11</v>
      </c>
      <c r="W36" s="1572">
        <f t="shared" si="14"/>
        <v>100</v>
      </c>
      <c r="X36" s="1565"/>
      <c r="Y36" s="3409"/>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409"/>
      <c r="Q37" s="1149" t="str">
        <f t="shared" si="11"/>
        <v>成新度</v>
      </c>
      <c r="R37" s="1566" t="s">
        <v>11</v>
      </c>
      <c r="S37" s="1567">
        <f t="shared" si="12"/>
        <v>100</v>
      </c>
      <c r="T37" s="1566" t="s">
        <v>11</v>
      </c>
      <c r="U37" s="1567">
        <f t="shared" si="13"/>
        <v>100</v>
      </c>
      <c r="V37" s="1566" t="s">
        <v>11</v>
      </c>
      <c r="W37" s="1567">
        <f t="shared" si="14"/>
        <v>100</v>
      </c>
      <c r="X37" s="1568"/>
      <c r="Y37" s="3409"/>
      <c r="Z37" s="1148" t="str">
        <f t="shared" si="15"/>
        <v>成新度</v>
      </c>
      <c r="AA37" s="1569">
        <f t="shared" si="3"/>
        <v>1</v>
      </c>
      <c r="AB37" s="1569">
        <f t="shared" si="4"/>
        <v>1</v>
      </c>
      <c r="AC37" s="1569">
        <f t="shared" si="5"/>
        <v>1</v>
      </c>
    </row>
    <row r="38" spans="1:29" ht="15">
      <c r="A38" s="593"/>
      <c r="B38" s="526" t="s">
        <v>731</v>
      </c>
      <c r="C38" s="598" t="s">
        <v>3059</v>
      </c>
      <c r="D38" s="539">
        <v>100</v>
      </c>
      <c r="E38" s="598" t="s">
        <v>3059</v>
      </c>
      <c r="F38" s="574">
        <f>SUMIF(114:114,E38,115:115)-SUMIF(114:114,C38,115:115)+100</f>
        <v>100</v>
      </c>
      <c r="G38" s="598" t="s">
        <v>3059</v>
      </c>
      <c r="H38" s="539">
        <f>SUMIF(114:114,G38,115:115)-SUMIF(114:114,C38,115:115)+100</f>
        <v>100</v>
      </c>
      <c r="I38" s="598" t="s">
        <v>3059</v>
      </c>
      <c r="J38" s="539">
        <f>SUMIF(114:114,I38,115:115)-SUMIF(114:114,C38,115:115)+100</f>
        <v>100</v>
      </c>
      <c r="K38" s="863">
        <v>2</v>
      </c>
      <c r="L38" s="2141"/>
      <c r="M38" s="2133"/>
      <c r="N38" s="2133"/>
      <c r="O38" s="2140"/>
      <c r="P38" s="3409" t="s">
        <v>550</v>
      </c>
      <c r="Q38" s="1570" t="str">
        <f t="shared" si="11"/>
        <v>物业管理</v>
      </c>
      <c r="R38" s="1571" t="s">
        <v>11</v>
      </c>
      <c r="S38" s="1572">
        <f t="shared" si="12"/>
        <v>100</v>
      </c>
      <c r="T38" s="1571" t="s">
        <v>11</v>
      </c>
      <c r="U38" s="1572">
        <f t="shared" si="13"/>
        <v>100</v>
      </c>
      <c r="V38" s="1571" t="s">
        <v>11</v>
      </c>
      <c r="W38" s="1572">
        <f t="shared" si="14"/>
        <v>100</v>
      </c>
      <c r="X38" s="1565"/>
      <c r="Y38" s="3409" t="s">
        <v>550</v>
      </c>
      <c r="Z38" s="1573" t="str">
        <f t="shared" si="15"/>
        <v>物业管理</v>
      </c>
      <c r="AA38" s="1574">
        <f t="shared" si="3"/>
        <v>1</v>
      </c>
      <c r="AB38" s="1574">
        <f t="shared" si="4"/>
        <v>1</v>
      </c>
      <c r="AC38" s="1574">
        <f t="shared" si="5"/>
        <v>1</v>
      </c>
    </row>
    <row r="39" spans="1:29" ht="15">
      <c r="A39" s="593"/>
      <c r="B39" s="1894" t="s">
        <v>2565</v>
      </c>
      <c r="C39" s="598" t="s">
        <v>3009</v>
      </c>
      <c r="D39" s="539">
        <v>100</v>
      </c>
      <c r="E39" s="598" t="s">
        <v>3009</v>
      </c>
      <c r="F39" s="574">
        <f>SUMIF(116:116,E39,117:117)-SUMIF(116:116,C39,117:117)+100</f>
        <v>100</v>
      </c>
      <c r="G39" s="598" t="s">
        <v>3009</v>
      </c>
      <c r="H39" s="539">
        <f>SUMIF(116:116,G39,117:117)-SUMIF(116:116,C39,117:117)+100</f>
        <v>100</v>
      </c>
      <c r="I39" s="598" t="s">
        <v>3009</v>
      </c>
      <c r="J39" s="539">
        <f>SUMIF(116:116,I39,117:117)-SUMIF(116:116,C39,117:117)+100</f>
        <v>100</v>
      </c>
      <c r="K39" s="863">
        <v>1</v>
      </c>
      <c r="L39" s="2141"/>
      <c r="M39" s="2133"/>
      <c r="N39" s="2133"/>
      <c r="O39" s="2140"/>
      <c r="P39" s="3409"/>
      <c r="Q39" s="1570" t="str">
        <f t="shared" si="11"/>
        <v>市政基础设施</v>
      </c>
      <c r="R39" s="1571" t="s">
        <v>11</v>
      </c>
      <c r="S39" s="1572">
        <f t="shared" si="12"/>
        <v>100</v>
      </c>
      <c r="T39" s="1571" t="s">
        <v>11</v>
      </c>
      <c r="U39" s="1572">
        <f t="shared" si="13"/>
        <v>100</v>
      </c>
      <c r="V39" s="1571" t="s">
        <v>11</v>
      </c>
      <c r="W39" s="1572">
        <f t="shared" si="14"/>
        <v>100</v>
      </c>
      <c r="X39" s="1565"/>
      <c r="Y39" s="3409"/>
      <c r="Z39" s="1573" t="str">
        <f t="shared" si="15"/>
        <v>市政基础设施</v>
      </c>
      <c r="AA39" s="1574">
        <f t="shared" si="3"/>
        <v>1</v>
      </c>
      <c r="AB39" s="1574">
        <f t="shared" si="4"/>
        <v>1</v>
      </c>
      <c r="AC39" s="157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409"/>
      <c r="Q40" s="1570" t="str">
        <f t="shared" si="11"/>
        <v>房型</v>
      </c>
      <c r="R40" s="1571" t="s">
        <v>11</v>
      </c>
      <c r="S40" s="1572">
        <f t="shared" si="12"/>
        <v>100</v>
      </c>
      <c r="T40" s="1571" t="s">
        <v>11</v>
      </c>
      <c r="U40" s="1572">
        <f t="shared" si="13"/>
        <v>100</v>
      </c>
      <c r="V40" s="1571" t="s">
        <v>11</v>
      </c>
      <c r="W40" s="1572">
        <f t="shared" si="14"/>
        <v>100</v>
      </c>
      <c r="X40" s="1565"/>
      <c r="Y40" s="3409"/>
      <c r="Z40" s="1573" t="str">
        <f t="shared" si="15"/>
        <v>房型</v>
      </c>
      <c r="AA40" s="1574">
        <f t="shared" si="3"/>
        <v>1</v>
      </c>
      <c r="AB40" s="1574">
        <f t="shared" si="4"/>
        <v>1</v>
      </c>
      <c r="AC40" s="1574">
        <f t="shared" si="5"/>
        <v>1</v>
      </c>
    </row>
    <row r="41" spans="1:29" s="1337" customFormat="1" ht="28.5">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09"/>
      <c r="Q41" s="1603" t="str">
        <f t="shared" si="11"/>
        <v>单套/主力户型建筑面积</v>
      </c>
      <c r="R41" s="1575" t="s">
        <v>11</v>
      </c>
      <c r="S41" s="1576">
        <f t="shared" si="12"/>
        <v>100</v>
      </c>
      <c r="T41" s="1575" t="s">
        <v>11</v>
      </c>
      <c r="U41" s="1576">
        <f t="shared" si="13"/>
        <v>100</v>
      </c>
      <c r="V41" s="1575" t="s">
        <v>11</v>
      </c>
      <c r="W41" s="1576">
        <f t="shared" si="14"/>
        <v>100</v>
      </c>
      <c r="X41" s="1577"/>
      <c r="Y41" s="3409"/>
      <c r="Z41" s="1578" t="str">
        <f t="shared" si="15"/>
        <v>单套/主力户型建筑面积</v>
      </c>
      <c r="AA41" s="1574">
        <f t="shared" si="3"/>
        <v>1</v>
      </c>
      <c r="AB41" s="1574">
        <f t="shared" si="4"/>
        <v>1</v>
      </c>
      <c r="AC41" s="1574">
        <f t="shared" si="5"/>
        <v>1</v>
      </c>
    </row>
    <row r="42" spans="1:29" ht="15">
      <c r="A42" s="593"/>
      <c r="B42" s="526" t="s">
        <v>734</v>
      </c>
      <c r="C42" s="598" t="s">
        <v>3060</v>
      </c>
      <c r="D42" s="539">
        <v>100</v>
      </c>
      <c r="E42" s="598" t="s">
        <v>3060</v>
      </c>
      <c r="F42" s="574">
        <f>SUMIF(122:122,E42,123:123)-SUMIF(122:122,C42,123:123)+100</f>
        <v>100</v>
      </c>
      <c r="G42" s="598" t="s">
        <v>3060</v>
      </c>
      <c r="H42" s="539">
        <f>SUMIF(122:122,G42,123:123)-SUMIF(122:122,C42,123:123)+100</f>
        <v>100</v>
      </c>
      <c r="I42" s="598" t="s">
        <v>3058</v>
      </c>
      <c r="J42" s="539">
        <f>SUMIF(122:122,I42,123:123)-SUMIF(122:122,C42,123:123)+100</f>
        <v>106</v>
      </c>
      <c r="K42" s="863">
        <v>2</v>
      </c>
      <c r="L42" s="2141"/>
      <c r="M42" s="2133"/>
      <c r="N42" s="2133"/>
      <c r="O42" s="2140"/>
      <c r="P42" s="3409"/>
      <c r="Q42" s="1570" t="str">
        <f t="shared" si="11"/>
        <v>内部装修</v>
      </c>
      <c r="R42" s="1571" t="s">
        <v>11</v>
      </c>
      <c r="S42" s="1572">
        <f t="shared" si="12"/>
        <v>100</v>
      </c>
      <c r="T42" s="1571" t="s">
        <v>11</v>
      </c>
      <c r="U42" s="1572">
        <f t="shared" si="13"/>
        <v>100</v>
      </c>
      <c r="V42" s="1571" t="s">
        <v>11</v>
      </c>
      <c r="W42" s="1572">
        <f t="shared" si="14"/>
        <v>106</v>
      </c>
      <c r="X42" s="1565"/>
      <c r="Y42" s="3409"/>
      <c r="Z42" s="1573" t="str">
        <f t="shared" si="15"/>
        <v>内部装修</v>
      </c>
      <c r="AA42" s="1574">
        <f t="shared" si="3"/>
        <v>1</v>
      </c>
      <c r="AB42" s="1574">
        <f t="shared" si="4"/>
        <v>1</v>
      </c>
      <c r="AC42" s="1574">
        <f t="shared" si="5"/>
        <v>0.94339622641509435</v>
      </c>
    </row>
    <row r="43" spans="1:29" ht="27">
      <c r="A43" s="593"/>
      <c r="B43" s="526" t="s">
        <v>735</v>
      </c>
      <c r="C43" s="598" t="s">
        <v>3011</v>
      </c>
      <c r="D43" s="539">
        <v>100</v>
      </c>
      <c r="E43" s="598" t="s">
        <v>3011</v>
      </c>
      <c r="F43" s="574">
        <f>SUMIF(124:124,E43,125:125)-SUMIF(124:124,C43,125:125)+100</f>
        <v>100</v>
      </c>
      <c r="G43" s="598" t="s">
        <v>3011</v>
      </c>
      <c r="H43" s="539">
        <f>SUMIF(124:124,G43,125:125)-SUMIF(124:124,C43,125:125)+100</f>
        <v>100</v>
      </c>
      <c r="I43" s="598" t="s">
        <v>3011</v>
      </c>
      <c r="J43" s="539">
        <f>SUMIF(124:124,I43,125:125)-SUMIF(124:124,C43,125:125)+100</f>
        <v>100</v>
      </c>
      <c r="K43" s="863">
        <v>2</v>
      </c>
      <c r="L43" s="2141"/>
      <c r="M43" s="2133"/>
      <c r="N43" s="2133"/>
      <c r="O43" s="2140"/>
      <c r="P43" s="3409"/>
      <c r="Q43" s="1570" t="str">
        <f t="shared" si="11"/>
        <v>内部装修维护情况</v>
      </c>
      <c r="R43" s="1571" t="s">
        <v>11</v>
      </c>
      <c r="S43" s="1572">
        <f t="shared" si="12"/>
        <v>100</v>
      </c>
      <c r="T43" s="1571" t="s">
        <v>11</v>
      </c>
      <c r="U43" s="1572">
        <f t="shared" si="13"/>
        <v>100</v>
      </c>
      <c r="V43" s="1571" t="s">
        <v>11</v>
      </c>
      <c r="W43" s="1572">
        <f t="shared" si="14"/>
        <v>100</v>
      </c>
      <c r="X43" s="1565"/>
      <c r="Y43" s="3409"/>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409"/>
      <c r="Q44" s="1149">
        <f t="shared" si="11"/>
        <v>111</v>
      </c>
      <c r="R44" s="1566" t="s">
        <v>11</v>
      </c>
      <c r="S44" s="1567">
        <f t="shared" si="12"/>
        <v>100</v>
      </c>
      <c r="T44" s="1566" t="s">
        <v>11</v>
      </c>
      <c r="U44" s="1567">
        <f t="shared" si="13"/>
        <v>100</v>
      </c>
      <c r="V44" s="1566" t="s">
        <v>11</v>
      </c>
      <c r="W44" s="1567">
        <f t="shared" si="14"/>
        <v>100</v>
      </c>
      <c r="X44" s="1568"/>
      <c r="Y44" s="3409"/>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09"/>
      <c r="Q45" s="1570">
        <f t="shared" si="11"/>
        <v>111</v>
      </c>
      <c r="R45" s="1571" t="s">
        <v>11</v>
      </c>
      <c r="S45" s="1572">
        <f t="shared" si="12"/>
        <v>100</v>
      </c>
      <c r="T45" s="1571" t="s">
        <v>11</v>
      </c>
      <c r="U45" s="1572">
        <f t="shared" si="13"/>
        <v>100</v>
      </c>
      <c r="V45" s="1571" t="s">
        <v>11</v>
      </c>
      <c r="W45" s="1572">
        <f t="shared" si="14"/>
        <v>100</v>
      </c>
      <c r="X45" s="1565"/>
      <c r="Y45" s="3409"/>
      <c r="Z45" s="1573">
        <f t="shared" si="15"/>
        <v>111</v>
      </c>
      <c r="AA45" s="1574">
        <f t="shared" si="3"/>
        <v>1</v>
      </c>
      <c r="AB45" s="1574">
        <f t="shared" si="4"/>
        <v>1</v>
      </c>
      <c r="AC45" s="1574">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92"/>
      <c r="Q46" s="1570">
        <f t="shared" si="11"/>
        <v>111</v>
      </c>
      <c r="R46" s="1571" t="s">
        <v>10</v>
      </c>
      <c r="S46" s="1572">
        <f t="shared" si="12"/>
        <v>100</v>
      </c>
      <c r="T46" s="1571" t="s">
        <v>10</v>
      </c>
      <c r="U46" s="1572">
        <f t="shared" si="13"/>
        <v>100</v>
      </c>
      <c r="V46" s="1571" t="s">
        <v>10</v>
      </c>
      <c r="W46" s="1572">
        <f t="shared" si="14"/>
        <v>100</v>
      </c>
      <c r="X46" s="1565"/>
      <c r="Y46" s="3492"/>
      <c r="Z46" s="1573">
        <f t="shared" si="15"/>
        <v>111</v>
      </c>
      <c r="AA46" s="1574">
        <f t="shared" si="3"/>
        <v>1</v>
      </c>
      <c r="AB46" s="1574">
        <f t="shared" si="4"/>
        <v>1</v>
      </c>
      <c r="AC46" s="1574">
        <f t="shared" si="5"/>
        <v>1</v>
      </c>
    </row>
    <row r="47" spans="1:29" ht="15">
      <c r="A47" s="606" t="s">
        <v>736</v>
      </c>
      <c r="B47" s="885"/>
      <c r="C47" s="2626" t="s">
        <v>9</v>
      </c>
      <c r="D47" s="2627"/>
      <c r="E47" s="2628">
        <v>10800</v>
      </c>
      <c r="F47" s="2629"/>
      <c r="G47" s="2630">
        <v>10500</v>
      </c>
      <c r="H47" s="2631"/>
      <c r="I47" s="2628">
        <v>11500</v>
      </c>
      <c r="J47" s="2631"/>
      <c r="K47" s="1604"/>
      <c r="L47" s="2143"/>
      <c r="M47" s="2144"/>
      <c r="N47" s="2133"/>
      <c r="O47" s="2144"/>
      <c r="P47" s="3404" t="str">
        <f>A47</f>
        <v>成交单价（元/平方米）</v>
      </c>
      <c r="Q47" s="3404"/>
      <c r="R47" s="3491">
        <f>E47</f>
        <v>10800</v>
      </c>
      <c r="S47" s="3491"/>
      <c r="T47" s="3491">
        <f>G47</f>
        <v>10500</v>
      </c>
      <c r="U47" s="3491"/>
      <c r="V47" s="3491">
        <f>I47</f>
        <v>11500</v>
      </c>
      <c r="W47" s="3491"/>
      <c r="X47" s="1557"/>
      <c r="Y47" s="1579"/>
      <c r="Z47" s="1557"/>
      <c r="AA47" s="1557"/>
      <c r="AB47" s="1557"/>
      <c r="AC47" s="1557"/>
    </row>
    <row r="48" spans="1:29" ht="15.75" thickBot="1">
      <c r="A48" s="614" t="s">
        <v>2761</v>
      </c>
      <c r="B48" s="886"/>
      <c r="C48" s="2632" t="e">
        <f>R49</f>
        <v>#DIV/0!</v>
      </c>
      <c r="D48" s="2633"/>
      <c r="E48" s="2634" t="e">
        <f>R48</f>
        <v>#DIV/0!</v>
      </c>
      <c r="F48" s="2634"/>
      <c r="G48" s="2632" t="e">
        <f>T48</f>
        <v>#DIV/0!</v>
      </c>
      <c r="H48" s="2633"/>
      <c r="I48" s="2634" t="e">
        <f>V48</f>
        <v>#DIV/0!</v>
      </c>
      <c r="J48" s="2633"/>
      <c r="K48" s="1605"/>
      <c r="L48" s="2143"/>
      <c r="M48" s="2144"/>
      <c r="N48" s="2144"/>
      <c r="O48" s="2144"/>
      <c r="P48" s="3404" t="str">
        <f>A48</f>
        <v>比较价格（元/平方米）</v>
      </c>
      <c r="Q48" s="340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57"/>
      <c r="Y48" s="1557"/>
      <c r="Z48" s="1557"/>
      <c r="AA48" s="1557"/>
      <c r="AB48" s="1557"/>
      <c r="AC48" s="1557"/>
    </row>
    <row r="49" spans="1:29" ht="15.75" thickBot="1">
      <c r="A49" s="620" t="s">
        <v>2931</v>
      </c>
      <c r="B49" s="621"/>
      <c r="C49" s="2635" t="e">
        <f>R49</f>
        <v>#DIV/0!</v>
      </c>
      <c r="D49" s="2635"/>
      <c r="E49" s="2635"/>
      <c r="F49" s="2635"/>
      <c r="G49" s="2635"/>
      <c r="H49" s="2635"/>
      <c r="I49" s="2635"/>
      <c r="J49" s="2635"/>
      <c r="K49" s="1606"/>
      <c r="L49" s="2143"/>
      <c r="M49" s="2144"/>
      <c r="N49" s="2144"/>
      <c r="O49" s="2144"/>
      <c r="P49" s="3426" t="str">
        <f>A49</f>
        <v>估价对象XX用房的比较价格（楼面单价，元/平方米）</v>
      </c>
      <c r="Q49" s="3427"/>
      <c r="R49" s="3490" t="e">
        <f>IF(F1="售价",ROUND(AVERAGE(R48:V48),0),ROUND(AVERAGE(R48:V48),1))</f>
        <v>#DIV/0!</v>
      </c>
      <c r="S49" s="3490"/>
      <c r="T49" s="3490"/>
      <c r="U49" s="3490"/>
      <c r="V49" s="3490"/>
      <c r="W49" s="3490"/>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2.857142857142847E-2</v>
      </c>
      <c r="F54" s="626" t="str">
        <f>IF(OR(E54&gt;=0.3,E54&lt;=-0.3),"超过30%","")</f>
        <v/>
      </c>
      <c r="G54" s="625">
        <f>IF(G47&lt;I47,I47/G47-1,G47/I47-1)</f>
        <v>9.5238095238095344E-2</v>
      </c>
      <c r="H54" s="626" t="str">
        <f>IF(OR(G54&gt;=0.3,G54&lt;=-0.3),"超过30%","")</f>
        <v/>
      </c>
      <c r="I54" s="625">
        <f>IF(I47&lt;E47,E47/I47-1,I47/E47-1)</f>
        <v>6.4814814814814881E-2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03"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746</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747</v>
      </c>
      <c r="C100" s="3178" t="s">
        <v>3079</v>
      </c>
      <c r="D100" s="3178" t="s">
        <v>3045</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200000</v>
      </c>
      <c r="E103" s="729">
        <v>400000</v>
      </c>
      <c r="F103" s="729">
        <v>600000</v>
      </c>
      <c r="G103" s="729">
        <v>800000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85" t="s">
        <v>3046</v>
      </c>
      <c r="D105" s="3185" t="s">
        <v>3047</v>
      </c>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86" t="s">
        <v>3048</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85" t="s">
        <v>3049</v>
      </c>
      <c r="D109" s="3185" t="s">
        <v>3050</v>
      </c>
      <c r="E109" s="3185" t="s">
        <v>3051</v>
      </c>
      <c r="F109" s="3186" t="s">
        <v>3052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97</v>
      </c>
      <c r="E110" s="678">
        <f t="shared" si="26"/>
        <v>94</v>
      </c>
      <c r="F110" s="678">
        <f t="shared" si="26"/>
        <v>91</v>
      </c>
      <c r="G110" s="678">
        <f t="shared" si="26"/>
        <v>88</v>
      </c>
      <c r="H110" s="678">
        <f t="shared" si="26"/>
        <v>85</v>
      </c>
      <c r="I110" s="678">
        <f t="shared" si="26"/>
        <v>82</v>
      </c>
      <c r="J110" s="678">
        <f t="shared" si="26"/>
        <v>79</v>
      </c>
      <c r="K110" s="678">
        <f t="shared" si="26"/>
        <v>76</v>
      </c>
      <c r="L110" s="678">
        <f t="shared" si="26"/>
        <v>73</v>
      </c>
      <c r="M110" s="678">
        <f t="shared" si="26"/>
        <v>70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85" t="s">
        <v>3053</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85" t="s">
        <v>3054</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733</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185" t="s">
        <v>3049</v>
      </c>
      <c r="D122" s="3185" t="s">
        <v>3050</v>
      </c>
      <c r="E122" s="3185" t="s">
        <v>3051</v>
      </c>
      <c r="F122" s="3186" t="s">
        <v>3052</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9"/>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521</v>
      </c>
      <c r="B4" s="512"/>
      <c r="C4" s="3410" t="s">
        <v>522</v>
      </c>
      <c r="D4" s="3411"/>
      <c r="E4" s="3435" t="s">
        <v>523</v>
      </c>
      <c r="F4" s="3436"/>
      <c r="G4" s="3410" t="s">
        <v>524</v>
      </c>
      <c r="H4" s="3411"/>
      <c r="I4" s="3410" t="s">
        <v>525</v>
      </c>
      <c r="J4" s="3411"/>
      <c r="K4" s="513" t="s">
        <v>526</v>
      </c>
      <c r="L4" s="2132"/>
      <c r="M4" s="2133"/>
      <c r="N4" s="2133"/>
      <c r="O4" s="2133"/>
      <c r="P4" s="3412" t="s">
        <v>527</v>
      </c>
      <c r="Q4" s="3413"/>
      <c r="R4" s="3398" t="s">
        <v>523</v>
      </c>
      <c r="S4" s="3399"/>
      <c r="T4" s="3398" t="s">
        <v>524</v>
      </c>
      <c r="U4" s="3399"/>
      <c r="V4" s="3418" t="s">
        <v>525</v>
      </c>
      <c r="W4" s="3418"/>
      <c r="X4" s="1565"/>
      <c r="Y4" s="3398" t="s">
        <v>527</v>
      </c>
      <c r="Z4" s="3399"/>
      <c r="AA4" s="3393" t="s">
        <v>523</v>
      </c>
      <c r="AB4" s="3418" t="s">
        <v>524</v>
      </c>
      <c r="AC4" s="3393" t="s">
        <v>525</v>
      </c>
    </row>
    <row r="5" spans="1:29" ht="15">
      <c r="A5" s="514"/>
      <c r="B5" s="515"/>
      <c r="C5" s="3421" t="s">
        <v>2925</v>
      </c>
      <c r="D5" s="3422"/>
      <c r="E5" s="3437" t="s">
        <v>2926</v>
      </c>
      <c r="F5" s="3438"/>
      <c r="G5" s="3421" t="s">
        <v>2927</v>
      </c>
      <c r="H5" s="3422"/>
      <c r="I5" s="3421" t="s">
        <v>2928</v>
      </c>
      <c r="J5" s="3422"/>
      <c r="K5" s="513"/>
      <c r="L5" s="2132"/>
      <c r="M5" s="2133"/>
      <c r="N5" s="2133"/>
      <c r="O5" s="2133"/>
      <c r="P5" s="3414"/>
      <c r="Q5" s="3415"/>
      <c r="R5" s="3400"/>
      <c r="S5" s="3401"/>
      <c r="T5" s="3400"/>
      <c r="U5" s="3401"/>
      <c r="V5" s="3418"/>
      <c r="W5" s="3418"/>
      <c r="X5" s="1565"/>
      <c r="Y5" s="3400"/>
      <c r="Z5" s="3401"/>
      <c r="AA5" s="3394"/>
      <c r="AB5" s="3418"/>
      <c r="AC5" s="3394"/>
    </row>
    <row r="6" spans="1:29" ht="15.75" thickBot="1">
      <c r="A6" s="516"/>
      <c r="B6" s="517"/>
      <c r="C6" s="3419" t="s">
        <v>2929</v>
      </c>
      <c r="D6" s="3420"/>
      <c r="E6" s="3439" t="s">
        <v>2929</v>
      </c>
      <c r="F6" s="3440"/>
      <c r="G6" s="3419" t="s">
        <v>2929</v>
      </c>
      <c r="H6" s="3420"/>
      <c r="I6" s="3419" t="s">
        <v>2929</v>
      </c>
      <c r="J6" s="3420"/>
      <c r="K6" s="513" t="s">
        <v>528</v>
      </c>
      <c r="L6" s="2132"/>
      <c r="M6" s="2133"/>
      <c r="N6" s="2133"/>
      <c r="O6" s="2133"/>
      <c r="P6" s="3416"/>
      <c r="Q6" s="3417"/>
      <c r="R6" s="3400"/>
      <c r="S6" s="3401"/>
      <c r="T6" s="3402"/>
      <c r="U6" s="3403"/>
      <c r="V6" s="3418"/>
      <c r="W6" s="3418"/>
      <c r="X6" s="1565"/>
      <c r="Y6" s="3402"/>
      <c r="Z6" s="3403"/>
      <c r="AA6" s="3395"/>
      <c r="AB6" s="3418"/>
      <c r="AC6" s="3395"/>
    </row>
    <row r="7" spans="1:29" s="1218" customFormat="1" ht="15.75" thickBot="1">
      <c r="A7" s="2911"/>
      <c r="B7" s="2918" t="s">
        <v>529</v>
      </c>
      <c r="C7" s="518">
        <f>'数据-取费表'!B2</f>
        <v>43314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96" t="s">
        <v>530</v>
      </c>
      <c r="Q7" s="3405"/>
      <c r="R7" s="1566" t="s">
        <v>8</v>
      </c>
      <c r="S7" s="1567">
        <f t="shared" ref="S7:S15" si="0">F7</f>
        <v>0</v>
      </c>
      <c r="T7" s="1566" t="s">
        <v>8</v>
      </c>
      <c r="U7" s="1567">
        <f t="shared" ref="U7:U15" si="1">H7</f>
        <v>0</v>
      </c>
      <c r="V7" s="1566" t="s">
        <v>8</v>
      </c>
      <c r="W7" s="1567">
        <f t="shared" ref="W7:W15" si="2">J7</f>
        <v>0</v>
      </c>
      <c r="X7" s="1568"/>
      <c r="Y7" s="3396" t="s">
        <v>530</v>
      </c>
      <c r="Z7" s="3397"/>
      <c r="AA7" s="1569" t="e">
        <f>D7/F7</f>
        <v>#DIV/0!</v>
      </c>
      <c r="AB7" s="1569" t="e">
        <f>D7/H7</f>
        <v>#DIV/0!</v>
      </c>
      <c r="AC7" s="1569" t="e">
        <f>D7/J7</f>
        <v>#DIV/0!</v>
      </c>
    </row>
    <row r="8" spans="1:29" s="1218" customFormat="1" ht="15.7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96" t="s">
        <v>533</v>
      </c>
      <c r="Q8" s="3397"/>
      <c r="R8" s="1566" t="s">
        <v>8</v>
      </c>
      <c r="S8" s="1567">
        <f t="shared" si="0"/>
        <v>0</v>
      </c>
      <c r="T8" s="1566" t="s">
        <v>8</v>
      </c>
      <c r="U8" s="1567">
        <f t="shared" si="1"/>
        <v>0</v>
      </c>
      <c r="V8" s="1566" t="s">
        <v>8</v>
      </c>
      <c r="W8" s="1567">
        <f t="shared" si="2"/>
        <v>0</v>
      </c>
      <c r="X8" s="1568"/>
      <c r="Y8" s="3396" t="s">
        <v>533</v>
      </c>
      <c r="Z8" s="3397"/>
      <c r="AA8" s="1569" t="e">
        <f t="shared" ref="AA8:AA46" si="3">D8/F8</f>
        <v>#DIV/0!</v>
      </c>
      <c r="AB8" s="1569" t="e">
        <f t="shared" ref="AB8:AB46" si="4">D8/H8</f>
        <v>#DIV/0!</v>
      </c>
      <c r="AC8" s="1569" t="e">
        <f t="shared" ref="AC8:AC46" si="5">D8/J8</f>
        <v>#DIV/0!</v>
      </c>
    </row>
    <row r="9" spans="1:29" s="1218" customFormat="1" ht="15">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404" t="s">
        <v>535</v>
      </c>
      <c r="Q9" s="1149" t="str">
        <f t="shared" ref="Q9:Q15" si="6">B9</f>
        <v>用途</v>
      </c>
      <c r="R9" s="1566" t="s">
        <v>8</v>
      </c>
      <c r="S9" s="1567">
        <f t="shared" si="0"/>
        <v>100</v>
      </c>
      <c r="T9" s="1566" t="s">
        <v>8</v>
      </c>
      <c r="U9" s="1567">
        <f t="shared" si="1"/>
        <v>100</v>
      </c>
      <c r="V9" s="1566" t="s">
        <v>8</v>
      </c>
      <c r="W9" s="1567">
        <f t="shared" si="2"/>
        <v>100</v>
      </c>
      <c r="X9" s="1568"/>
      <c r="Y9" s="3343" t="s">
        <v>536</v>
      </c>
      <c r="Z9" s="1148" t="str">
        <f t="shared" ref="Z9:Z15" si="7">Q9</f>
        <v>用途</v>
      </c>
      <c r="AA9" s="1569">
        <f t="shared" si="3"/>
        <v>1</v>
      </c>
      <c r="AB9" s="1569">
        <f t="shared" si="4"/>
        <v>1</v>
      </c>
      <c r="AC9" s="1569">
        <f t="shared" si="5"/>
        <v>1</v>
      </c>
    </row>
    <row r="10" spans="1:29" s="1336" customFormat="1" ht="27">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404"/>
      <c r="Q10" s="1149" t="str">
        <f t="shared" si="6"/>
        <v>土地使用年限（年）</v>
      </c>
      <c r="R10" s="1566" t="s">
        <v>8</v>
      </c>
      <c r="S10" s="1567">
        <f t="shared" si="0"/>
        <v>100</v>
      </c>
      <c r="T10" s="1566" t="s">
        <v>8</v>
      </c>
      <c r="U10" s="1567">
        <f t="shared" si="1"/>
        <v>100</v>
      </c>
      <c r="V10" s="1566" t="s">
        <v>8</v>
      </c>
      <c r="W10" s="1567">
        <f t="shared" si="2"/>
        <v>100</v>
      </c>
      <c r="X10" s="1568"/>
      <c r="Y10" s="3343"/>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404"/>
      <c r="Q11" s="1149" t="str">
        <f t="shared" si="6"/>
        <v>容积率</v>
      </c>
      <c r="R11" s="1566" t="s">
        <v>8</v>
      </c>
      <c r="S11" s="1567" t="e">
        <f t="shared" si="0"/>
        <v>#N/A</v>
      </c>
      <c r="T11" s="1566" t="s">
        <v>8</v>
      </c>
      <c r="U11" s="1567" t="e">
        <f t="shared" si="1"/>
        <v>#N/A</v>
      </c>
      <c r="V11" s="1566" t="s">
        <v>8</v>
      </c>
      <c r="W11" s="1567" t="e">
        <f t="shared" si="2"/>
        <v>#N/A</v>
      </c>
      <c r="X11" s="1568"/>
      <c r="Y11" s="3343"/>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404"/>
      <c r="Q12" s="1149">
        <f t="shared" si="6"/>
        <v>111</v>
      </c>
      <c r="R12" s="1566" t="s">
        <v>8</v>
      </c>
      <c r="S12" s="1567">
        <f t="shared" si="0"/>
        <v>100</v>
      </c>
      <c r="T12" s="1566" t="s">
        <v>8</v>
      </c>
      <c r="U12" s="1567">
        <f t="shared" si="1"/>
        <v>100</v>
      </c>
      <c r="V12" s="1566" t="s">
        <v>8</v>
      </c>
      <c r="W12" s="1567">
        <f t="shared" si="2"/>
        <v>100</v>
      </c>
      <c r="X12" s="1568"/>
      <c r="Y12" s="3343"/>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404"/>
      <c r="Q13" s="1149">
        <f t="shared" si="6"/>
        <v>111</v>
      </c>
      <c r="R13" s="1566" t="s">
        <v>8</v>
      </c>
      <c r="S13" s="1567">
        <f t="shared" si="0"/>
        <v>100</v>
      </c>
      <c r="T13" s="1566" t="s">
        <v>8</v>
      </c>
      <c r="U13" s="1567">
        <f t="shared" si="1"/>
        <v>100</v>
      </c>
      <c r="V13" s="1566" t="s">
        <v>8</v>
      </c>
      <c r="W13" s="1567">
        <f t="shared" si="2"/>
        <v>100</v>
      </c>
      <c r="X13" s="1568"/>
      <c r="Y13" s="3343"/>
      <c r="Z13" s="1148">
        <f t="shared" si="7"/>
        <v>111</v>
      </c>
      <c r="AA13" s="1569">
        <f t="shared" si="3"/>
        <v>1</v>
      </c>
      <c r="AB13" s="1569">
        <f t="shared" si="4"/>
        <v>1</v>
      </c>
      <c r="AC13" s="1569">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404"/>
      <c r="Q14" s="1149">
        <f t="shared" si="6"/>
        <v>111</v>
      </c>
      <c r="R14" s="1566" t="s">
        <v>8</v>
      </c>
      <c r="S14" s="1567">
        <f t="shared" si="0"/>
        <v>100</v>
      </c>
      <c r="T14" s="1566" t="s">
        <v>8</v>
      </c>
      <c r="U14" s="1567">
        <f t="shared" si="1"/>
        <v>100</v>
      </c>
      <c r="V14" s="1566" t="s">
        <v>8</v>
      </c>
      <c r="W14" s="1567">
        <f t="shared" si="2"/>
        <v>100</v>
      </c>
      <c r="X14" s="1568"/>
      <c r="Y14" s="3343"/>
      <c r="Z14" s="1148">
        <f t="shared" si="7"/>
        <v>111</v>
      </c>
      <c r="AA14" s="1569">
        <f t="shared" si="3"/>
        <v>1</v>
      </c>
      <c r="AB14" s="1569">
        <f t="shared" si="4"/>
        <v>1</v>
      </c>
      <c r="AC14" s="1569">
        <f t="shared" si="5"/>
        <v>1</v>
      </c>
    </row>
    <row r="15" spans="1:29" ht="71.25">
      <c r="A15" s="2909" t="s">
        <v>2755</v>
      </c>
      <c r="B15" s="165" t="s">
        <v>541</v>
      </c>
      <c r="C15" s="866" t="str">
        <f>估价对象房地状况!C4</f>
        <v>周边以住宅底商为主，商业氛围较差，人流量较小，商业繁华度较差</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406" t="s">
        <v>540</v>
      </c>
      <c r="Q15" s="1570" t="str">
        <f t="shared" si="6"/>
        <v>商业繁华度</v>
      </c>
      <c r="R15" s="1571" t="s">
        <v>8</v>
      </c>
      <c r="S15" s="1572">
        <f t="shared" si="0"/>
        <v>100</v>
      </c>
      <c r="T15" s="1571" t="s">
        <v>8</v>
      </c>
      <c r="U15" s="1572">
        <f t="shared" si="1"/>
        <v>100</v>
      </c>
      <c r="V15" s="1571" t="s">
        <v>8</v>
      </c>
      <c r="W15" s="1572">
        <f t="shared" si="2"/>
        <v>100</v>
      </c>
      <c r="X15" s="1565"/>
      <c r="Y15" s="3406"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07"/>
      <c r="Q16" s="1570"/>
      <c r="R16" s="1571"/>
      <c r="S16" s="1572"/>
      <c r="T16" s="1571"/>
      <c r="U16" s="1572"/>
      <c r="V16" s="1571"/>
      <c r="W16" s="1572"/>
      <c r="X16" s="1565"/>
      <c r="Y16" s="3407"/>
      <c r="Z16" s="1573"/>
      <c r="AA16" s="1574">
        <v>1</v>
      </c>
      <c r="AB16" s="1574">
        <v>1</v>
      </c>
      <c r="AC16" s="1574">
        <v>1</v>
      </c>
    </row>
    <row r="17" spans="1:29" ht="114">
      <c r="A17" s="531"/>
      <c r="B17" s="870" t="s">
        <v>296</v>
      </c>
      <c r="C17" s="871" t="str">
        <f>估价对象房地状况!C6</f>
        <v>估价对象周边道路状况一般、公共交通通达情况一般、停车便捷程度较好，有846、821等公交线路，综合评价交通便捷度较差</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407"/>
      <c r="Q17" s="1570" t="str">
        <f>B17</f>
        <v>交通便捷度</v>
      </c>
      <c r="R17" s="1571" t="s">
        <v>8</v>
      </c>
      <c r="S17" s="1572">
        <f>F17</f>
        <v>100</v>
      </c>
      <c r="T17" s="1571" t="s">
        <v>8</v>
      </c>
      <c r="U17" s="1572">
        <f>H17</f>
        <v>100</v>
      </c>
      <c r="V17" s="1571" t="s">
        <v>8</v>
      </c>
      <c r="W17" s="1572">
        <f>J17</f>
        <v>100</v>
      </c>
      <c r="X17" s="1565"/>
      <c r="Y17" s="340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07"/>
      <c r="Q18" s="1570"/>
      <c r="R18" s="1571"/>
      <c r="S18" s="1572"/>
      <c r="T18" s="1571"/>
      <c r="U18" s="1572"/>
      <c r="V18" s="1571"/>
      <c r="W18" s="1572"/>
      <c r="X18" s="1565"/>
      <c r="Y18" s="3407"/>
      <c r="Z18" s="1573"/>
      <c r="AA18" s="1574">
        <v>1</v>
      </c>
      <c r="AB18" s="1574">
        <v>1</v>
      </c>
      <c r="AC18" s="1574">
        <v>1</v>
      </c>
    </row>
    <row r="19" spans="1:29" ht="42.75">
      <c r="A19" s="531"/>
      <c r="B19" s="2599" t="s">
        <v>2547</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407"/>
      <c r="Q19" s="1570" t="str">
        <f>B19</f>
        <v>公共配套设施</v>
      </c>
      <c r="R19" s="1571" t="s">
        <v>8</v>
      </c>
      <c r="S19" s="1572">
        <f>F19</f>
        <v>100</v>
      </c>
      <c r="T19" s="1571" t="s">
        <v>8</v>
      </c>
      <c r="U19" s="1572">
        <f>H19</f>
        <v>100</v>
      </c>
      <c r="V19" s="1571" t="s">
        <v>8</v>
      </c>
      <c r="W19" s="1572">
        <f>J19</f>
        <v>100</v>
      </c>
      <c r="X19" s="1565"/>
      <c r="Y19" s="3407"/>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407"/>
      <c r="Q20" s="1570"/>
      <c r="R20" s="1571"/>
      <c r="S20" s="1572"/>
      <c r="T20" s="1571"/>
      <c r="U20" s="1572"/>
      <c r="V20" s="1571"/>
      <c r="W20" s="1572"/>
      <c r="X20" s="1565"/>
      <c r="Y20" s="3407"/>
      <c r="Z20" s="1573"/>
      <c r="AA20" s="1574">
        <v>1</v>
      </c>
      <c r="AB20" s="1574">
        <v>1</v>
      </c>
      <c r="AC20" s="1574">
        <v>1</v>
      </c>
    </row>
    <row r="21" spans="1:29" ht="15">
      <c r="A21" s="531"/>
      <c r="B21" s="2592"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407"/>
      <c r="Q21" s="2578" t="str">
        <f>B21</f>
        <v>基础设施水平</v>
      </c>
      <c r="R21" s="1571" t="s">
        <v>8</v>
      </c>
      <c r="S21" s="1572">
        <f>F21</f>
        <v>100</v>
      </c>
      <c r="T21" s="1571" t="s">
        <v>8</v>
      </c>
      <c r="U21" s="1572">
        <f>H21</f>
        <v>100</v>
      </c>
      <c r="V21" s="1571" t="s">
        <v>8</v>
      </c>
      <c r="W21" s="1572">
        <f>J21</f>
        <v>100</v>
      </c>
      <c r="X21" s="2580"/>
      <c r="Y21" s="3407"/>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407"/>
      <c r="Q22" s="2578"/>
      <c r="R22" s="1571"/>
      <c r="S22" s="1572"/>
      <c r="T22" s="1571"/>
      <c r="U22" s="1572"/>
      <c r="V22" s="1571"/>
      <c r="W22" s="1572"/>
      <c r="X22" s="2580"/>
      <c r="Y22" s="3407"/>
      <c r="Z22" s="2579"/>
      <c r="AA22" s="1574">
        <v>1</v>
      </c>
      <c r="AB22" s="1574">
        <v>1</v>
      </c>
      <c r="AC22" s="1574">
        <v>1</v>
      </c>
    </row>
    <row r="23" spans="1:29" ht="28.5">
      <c r="A23" s="531"/>
      <c r="B23" s="870" t="s">
        <v>297</v>
      </c>
      <c r="C23" s="898" t="str">
        <f>估价对象房地状况!C9</f>
        <v>综合评价环境状况较差</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407"/>
      <c r="Q23" s="1570" t="str">
        <f>B23</f>
        <v>自然及人文环境</v>
      </c>
      <c r="R23" s="1571" t="s">
        <v>8</v>
      </c>
      <c r="S23" s="1572">
        <f>F23</f>
        <v>100</v>
      </c>
      <c r="T23" s="1571" t="s">
        <v>8</v>
      </c>
      <c r="U23" s="1572">
        <f>H23</f>
        <v>100</v>
      </c>
      <c r="V23" s="1571" t="s">
        <v>8</v>
      </c>
      <c r="W23" s="1572">
        <f>J23</f>
        <v>100</v>
      </c>
      <c r="X23" s="1565"/>
      <c r="Y23" s="3407"/>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407"/>
      <c r="Q24" s="1570"/>
      <c r="R24" s="1571"/>
      <c r="S24" s="1572"/>
      <c r="T24" s="1571"/>
      <c r="U24" s="1572"/>
      <c r="V24" s="1571"/>
      <c r="W24" s="1572"/>
      <c r="X24" s="1565"/>
      <c r="Y24" s="3407"/>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07"/>
      <c r="Q25" s="1570" t="str">
        <f t="shared" ref="Q25:Q46" si="11">B25</f>
        <v>临街状况</v>
      </c>
      <c r="R25" s="1571" t="s">
        <v>8</v>
      </c>
      <c r="S25" s="1572">
        <f>F25</f>
        <v>100</v>
      </c>
      <c r="T25" s="1571" t="s">
        <v>8</v>
      </c>
      <c r="U25" s="1572">
        <f>H25</f>
        <v>100</v>
      </c>
      <c r="V25" s="1571" t="s">
        <v>8</v>
      </c>
      <c r="W25" s="1572">
        <f>J25</f>
        <v>100</v>
      </c>
      <c r="X25" s="1565"/>
      <c r="Y25" s="3407"/>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07"/>
      <c r="Q26" s="1570" t="str">
        <f t="shared" si="11"/>
        <v>平面位置/可视性</v>
      </c>
      <c r="R26" s="1571" t="s">
        <v>8</v>
      </c>
      <c r="S26" s="1572">
        <f>F26</f>
        <v>100</v>
      </c>
      <c r="T26" s="1571" t="s">
        <v>8</v>
      </c>
      <c r="U26" s="1572">
        <f>H26</f>
        <v>100</v>
      </c>
      <c r="V26" s="1571" t="s">
        <v>8</v>
      </c>
      <c r="W26" s="1572">
        <f>J26</f>
        <v>100</v>
      </c>
      <c r="X26" s="1565"/>
      <c r="Y26" s="3407"/>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407"/>
      <c r="Q27" s="1149" t="str">
        <f t="shared" si="11"/>
        <v>人流量</v>
      </c>
      <c r="R27" s="1566" t="s">
        <v>8</v>
      </c>
      <c r="S27" s="1567">
        <f>F27</f>
        <v>100</v>
      </c>
      <c r="T27" s="1566" t="s">
        <v>8</v>
      </c>
      <c r="U27" s="1567">
        <f>H27</f>
        <v>100</v>
      </c>
      <c r="V27" s="1566" t="s">
        <v>8</v>
      </c>
      <c r="W27" s="1567">
        <f>J27</f>
        <v>100</v>
      </c>
      <c r="X27" s="1568"/>
      <c r="Y27" s="3407"/>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0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7"/>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07"/>
      <c r="Q29" s="1570">
        <f t="shared" si="11"/>
        <v>111</v>
      </c>
      <c r="R29" s="1571" t="s">
        <v>8</v>
      </c>
      <c r="S29" s="1572">
        <f t="shared" si="12"/>
        <v>100</v>
      </c>
      <c r="T29" s="1571" t="s">
        <v>8</v>
      </c>
      <c r="U29" s="1572">
        <f t="shared" si="13"/>
        <v>100</v>
      </c>
      <c r="V29" s="1571" t="s">
        <v>8</v>
      </c>
      <c r="W29" s="1572">
        <f t="shared" si="14"/>
        <v>100</v>
      </c>
      <c r="X29" s="1565"/>
      <c r="Y29" s="340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07"/>
      <c r="Q30" s="1570">
        <f t="shared" si="11"/>
        <v>111</v>
      </c>
      <c r="R30" s="1571" t="s">
        <v>8</v>
      </c>
      <c r="S30" s="1572">
        <f t="shared" si="12"/>
        <v>100</v>
      </c>
      <c r="T30" s="1571" t="s">
        <v>8</v>
      </c>
      <c r="U30" s="1572">
        <f t="shared" si="13"/>
        <v>100</v>
      </c>
      <c r="V30" s="1571" t="s">
        <v>8</v>
      </c>
      <c r="W30" s="1572">
        <f t="shared" si="14"/>
        <v>100</v>
      </c>
      <c r="X30" s="1565"/>
      <c r="Y30" s="3407"/>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07"/>
      <c r="Q31" s="1570">
        <f t="shared" si="11"/>
        <v>111</v>
      </c>
      <c r="R31" s="1571" t="s">
        <v>8</v>
      </c>
      <c r="S31" s="1572">
        <f t="shared" si="12"/>
        <v>100</v>
      </c>
      <c r="T31" s="1571" t="s">
        <v>8</v>
      </c>
      <c r="U31" s="1572">
        <f t="shared" si="13"/>
        <v>100</v>
      </c>
      <c r="V31" s="1571" t="s">
        <v>8</v>
      </c>
      <c r="W31" s="1572">
        <f t="shared" si="14"/>
        <v>100</v>
      </c>
      <c r="X31" s="1565"/>
      <c r="Y31" s="3407"/>
      <c r="Z31" s="1573">
        <f t="shared" si="15"/>
        <v>111</v>
      </c>
      <c r="AA31" s="1574">
        <f t="shared" si="3"/>
        <v>1</v>
      </c>
      <c r="AB31" s="1574">
        <f t="shared" si="4"/>
        <v>1</v>
      </c>
      <c r="AC31" s="1574">
        <f t="shared" si="5"/>
        <v>1</v>
      </c>
    </row>
    <row r="32" spans="1:29" ht="15">
      <c r="A32" s="2906" t="s">
        <v>2756</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08" t="s">
        <v>550</v>
      </c>
      <c r="Q32" s="1570" t="str">
        <f t="shared" si="11"/>
        <v>商业类型</v>
      </c>
      <c r="R32" s="1571" t="s">
        <v>8</v>
      </c>
      <c r="S32" s="1572">
        <f t="shared" si="12"/>
        <v>100</v>
      </c>
      <c r="T32" s="1571" t="s">
        <v>8</v>
      </c>
      <c r="U32" s="1572">
        <f t="shared" si="13"/>
        <v>100</v>
      </c>
      <c r="V32" s="1571" t="s">
        <v>8</v>
      </c>
      <c r="W32" s="1572">
        <f t="shared" si="14"/>
        <v>100</v>
      </c>
      <c r="X32" s="1565"/>
      <c r="Y32" s="3409"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09"/>
      <c r="Q33" s="1603" t="str">
        <f t="shared" si="11"/>
        <v>项目建筑规模</v>
      </c>
      <c r="R33" s="1575" t="s">
        <v>8</v>
      </c>
      <c r="S33" s="1576" t="e">
        <f t="shared" si="12"/>
        <v>#N/A</v>
      </c>
      <c r="T33" s="1575" t="s">
        <v>8</v>
      </c>
      <c r="U33" s="1576" t="e">
        <f t="shared" si="13"/>
        <v>#N/A</v>
      </c>
      <c r="V33" s="1575" t="s">
        <v>8</v>
      </c>
      <c r="W33" s="1576" t="e">
        <f t="shared" si="14"/>
        <v>#N/A</v>
      </c>
      <c r="X33" s="1577"/>
      <c r="Y33" s="3409"/>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409"/>
      <c r="Q34" s="1570" t="str">
        <f t="shared" si="11"/>
        <v>建筑结构</v>
      </c>
      <c r="R34" s="1571" t="s">
        <v>8</v>
      </c>
      <c r="S34" s="1572">
        <f t="shared" si="12"/>
        <v>100</v>
      </c>
      <c r="T34" s="1571" t="s">
        <v>8</v>
      </c>
      <c r="U34" s="1572">
        <f t="shared" si="13"/>
        <v>100</v>
      </c>
      <c r="V34" s="1571" t="s">
        <v>8</v>
      </c>
      <c r="W34" s="1572">
        <f t="shared" si="14"/>
        <v>100</v>
      </c>
      <c r="X34" s="1565"/>
      <c r="Y34" s="3409"/>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09"/>
      <c r="Q35" s="1570" t="str">
        <f t="shared" si="11"/>
        <v>公共部分装修</v>
      </c>
      <c r="R35" s="1571" t="s">
        <v>8</v>
      </c>
      <c r="S35" s="1572">
        <f t="shared" si="12"/>
        <v>100</v>
      </c>
      <c r="T35" s="1571" t="s">
        <v>8</v>
      </c>
      <c r="U35" s="1572">
        <f t="shared" si="13"/>
        <v>100</v>
      </c>
      <c r="V35" s="1571" t="s">
        <v>8</v>
      </c>
      <c r="W35" s="1572">
        <f t="shared" si="14"/>
        <v>100</v>
      </c>
      <c r="X35" s="1565"/>
      <c r="Y35" s="3409"/>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409"/>
      <c r="Q36" s="1570" t="str">
        <f t="shared" si="11"/>
        <v>成新度</v>
      </c>
      <c r="R36" s="1571" t="s">
        <v>8</v>
      </c>
      <c r="S36" s="1572" t="e">
        <f t="shared" si="12"/>
        <v>#N/A</v>
      </c>
      <c r="T36" s="1571" t="s">
        <v>8</v>
      </c>
      <c r="U36" s="1572" t="e">
        <f t="shared" si="13"/>
        <v>#N/A</v>
      </c>
      <c r="V36" s="1571" t="s">
        <v>8</v>
      </c>
      <c r="W36" s="1572" t="e">
        <f t="shared" si="14"/>
        <v>#N/A</v>
      </c>
      <c r="X36" s="1565"/>
      <c r="Y36" s="3409"/>
      <c r="Z36" s="1573" t="str">
        <f t="shared" si="15"/>
        <v>成新度</v>
      </c>
      <c r="AA36" s="1574" t="e">
        <f t="shared" si="3"/>
        <v>#N/A</v>
      </c>
      <c r="AB36" s="1574" t="e">
        <f t="shared" si="4"/>
        <v>#N/A</v>
      </c>
      <c r="AC36" s="1574" t="e">
        <f t="shared" si="5"/>
        <v>#N/A</v>
      </c>
    </row>
    <row r="37" spans="1:29" s="1218" customFormat="1" ht="15">
      <c r="A37" s="599"/>
      <c r="B37" s="1894"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09"/>
      <c r="Q37" s="1149" t="str">
        <f t="shared" si="11"/>
        <v>市政基础设施</v>
      </c>
      <c r="R37" s="1566" t="s">
        <v>8</v>
      </c>
      <c r="S37" s="1567">
        <f t="shared" si="12"/>
        <v>100</v>
      </c>
      <c r="T37" s="1566" t="s">
        <v>8</v>
      </c>
      <c r="U37" s="1567">
        <f t="shared" si="13"/>
        <v>100</v>
      </c>
      <c r="V37" s="1566" t="s">
        <v>8</v>
      </c>
      <c r="W37" s="1567">
        <f t="shared" si="14"/>
        <v>100</v>
      </c>
      <c r="X37" s="1568"/>
      <c r="Y37" s="3409"/>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09" t="s">
        <v>766</v>
      </c>
      <c r="Q38" s="1570" t="str">
        <f t="shared" si="11"/>
        <v>业态</v>
      </c>
      <c r="R38" s="1571" t="s">
        <v>8</v>
      </c>
      <c r="S38" s="1572">
        <f t="shared" si="12"/>
        <v>100</v>
      </c>
      <c r="T38" s="1571" t="s">
        <v>8</v>
      </c>
      <c r="U38" s="1572">
        <f t="shared" si="13"/>
        <v>100</v>
      </c>
      <c r="V38" s="1571" t="s">
        <v>8</v>
      </c>
      <c r="W38" s="1572">
        <f t="shared" si="14"/>
        <v>100</v>
      </c>
      <c r="X38" s="1565"/>
      <c r="Y38" s="3409"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9"/>
      <c r="Q39" s="1570" t="str">
        <f t="shared" si="11"/>
        <v>层高</v>
      </c>
      <c r="R39" s="1571" t="s">
        <v>8</v>
      </c>
      <c r="S39" s="1572">
        <f t="shared" si="12"/>
        <v>100</v>
      </c>
      <c r="T39" s="1571" t="s">
        <v>8</v>
      </c>
      <c r="U39" s="1572">
        <f t="shared" si="13"/>
        <v>100</v>
      </c>
      <c r="V39" s="1571" t="s">
        <v>8</v>
      </c>
      <c r="W39" s="1572">
        <f t="shared" si="14"/>
        <v>100</v>
      </c>
      <c r="X39" s="1565"/>
      <c r="Y39" s="3409"/>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409"/>
      <c r="Q40" s="1570" t="str">
        <f t="shared" si="11"/>
        <v>单套建筑面积</v>
      </c>
      <c r="R40" s="1571" t="s">
        <v>8</v>
      </c>
      <c r="S40" s="1572">
        <f t="shared" si="12"/>
        <v>100</v>
      </c>
      <c r="T40" s="1571" t="s">
        <v>8</v>
      </c>
      <c r="U40" s="1572">
        <f t="shared" si="13"/>
        <v>100</v>
      </c>
      <c r="V40" s="1571" t="s">
        <v>8</v>
      </c>
      <c r="W40" s="1572">
        <f t="shared" si="14"/>
        <v>100</v>
      </c>
      <c r="X40" s="1565"/>
      <c r="Y40" s="3409"/>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09"/>
      <c r="Q41" s="1603" t="str">
        <f t="shared" si="11"/>
        <v>进深比</v>
      </c>
      <c r="R41" s="1575" t="s">
        <v>8</v>
      </c>
      <c r="S41" s="1576">
        <f t="shared" si="12"/>
        <v>100</v>
      </c>
      <c r="T41" s="1575" t="s">
        <v>8</v>
      </c>
      <c r="U41" s="1576">
        <f t="shared" si="13"/>
        <v>100</v>
      </c>
      <c r="V41" s="1575" t="s">
        <v>8</v>
      </c>
      <c r="W41" s="1576">
        <f t="shared" si="14"/>
        <v>100</v>
      </c>
      <c r="X41" s="1577"/>
      <c r="Y41" s="3409"/>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09"/>
      <c r="Q42" s="1570" t="str">
        <f t="shared" si="11"/>
        <v>内部装修</v>
      </c>
      <c r="R42" s="1571" t="s">
        <v>8</v>
      </c>
      <c r="S42" s="1572">
        <f t="shared" si="12"/>
        <v>100</v>
      </c>
      <c r="T42" s="1571" t="s">
        <v>8</v>
      </c>
      <c r="U42" s="1572">
        <f t="shared" si="13"/>
        <v>100</v>
      </c>
      <c r="V42" s="1571" t="s">
        <v>8</v>
      </c>
      <c r="W42" s="1572">
        <f t="shared" si="14"/>
        <v>100</v>
      </c>
      <c r="X42" s="1565"/>
      <c r="Y42" s="3409"/>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09"/>
      <c r="Q43" s="1570" t="str">
        <f t="shared" si="11"/>
        <v>内部装修维护情况</v>
      </c>
      <c r="R43" s="1571" t="s">
        <v>8</v>
      </c>
      <c r="S43" s="1572">
        <f t="shared" si="12"/>
        <v>100</v>
      </c>
      <c r="T43" s="1571" t="s">
        <v>8</v>
      </c>
      <c r="U43" s="1572">
        <f t="shared" si="13"/>
        <v>100</v>
      </c>
      <c r="V43" s="1571" t="s">
        <v>8</v>
      </c>
      <c r="W43" s="1572">
        <f t="shared" si="14"/>
        <v>100</v>
      </c>
      <c r="X43" s="1565"/>
      <c r="Y43" s="3409"/>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09"/>
      <c r="Q44" s="1149">
        <f t="shared" si="11"/>
        <v>111</v>
      </c>
      <c r="R44" s="1566" t="s">
        <v>8</v>
      </c>
      <c r="S44" s="1567">
        <f t="shared" si="12"/>
        <v>100</v>
      </c>
      <c r="T44" s="1566" t="s">
        <v>8</v>
      </c>
      <c r="U44" s="1567">
        <f t="shared" si="13"/>
        <v>100</v>
      </c>
      <c r="V44" s="1566" t="s">
        <v>8</v>
      </c>
      <c r="W44" s="1567">
        <f t="shared" si="14"/>
        <v>100</v>
      </c>
      <c r="X44" s="1568"/>
      <c r="Y44" s="3409"/>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09"/>
      <c r="Q45" s="1570">
        <f t="shared" si="11"/>
        <v>111</v>
      </c>
      <c r="R45" s="1571" t="s">
        <v>8</v>
      </c>
      <c r="S45" s="1572">
        <f t="shared" si="12"/>
        <v>100</v>
      </c>
      <c r="T45" s="1571" t="s">
        <v>8</v>
      </c>
      <c r="U45" s="1572">
        <f t="shared" si="13"/>
        <v>100</v>
      </c>
      <c r="V45" s="1571" t="s">
        <v>8</v>
      </c>
      <c r="W45" s="1572">
        <f t="shared" si="14"/>
        <v>100</v>
      </c>
      <c r="X45" s="1565"/>
      <c r="Y45" s="3409"/>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92"/>
      <c r="Q46" s="1570">
        <f t="shared" si="11"/>
        <v>111</v>
      </c>
      <c r="R46" s="1571" t="s">
        <v>8</v>
      </c>
      <c r="S46" s="1572">
        <f t="shared" si="12"/>
        <v>100</v>
      </c>
      <c r="T46" s="1571" t="s">
        <v>8</v>
      </c>
      <c r="U46" s="1572">
        <f t="shared" si="13"/>
        <v>100</v>
      </c>
      <c r="V46" s="1571" t="s">
        <v>8</v>
      </c>
      <c r="W46" s="1572">
        <f t="shared" si="14"/>
        <v>100</v>
      </c>
      <c r="X46" s="1565"/>
      <c r="Y46" s="3492"/>
      <c r="Z46" s="1573">
        <f t="shared" si="15"/>
        <v>111</v>
      </c>
      <c r="AA46" s="1574">
        <f t="shared" si="3"/>
        <v>1</v>
      </c>
      <c r="AB46" s="1574">
        <f t="shared" si="4"/>
        <v>1</v>
      </c>
      <c r="AC46" s="1574">
        <f t="shared" si="5"/>
        <v>1</v>
      </c>
    </row>
    <row r="47" spans="1:29" ht="15">
      <c r="A47" s="606" t="s">
        <v>736</v>
      </c>
      <c r="B47" s="885"/>
      <c r="C47" s="2626" t="s">
        <v>1</v>
      </c>
      <c r="D47" s="2627"/>
      <c r="E47" s="2628"/>
      <c r="F47" s="2629"/>
      <c r="G47" s="2630"/>
      <c r="H47" s="2631"/>
      <c r="I47" s="2628"/>
      <c r="J47" s="2631"/>
      <c r="K47" s="1609"/>
      <c r="L47" s="2143"/>
      <c r="M47" s="2144"/>
      <c r="N47" s="2133"/>
      <c r="O47" s="2144"/>
      <c r="P47" s="3404" t="str">
        <f>A47</f>
        <v>成交单价（元/平方米）</v>
      </c>
      <c r="Q47" s="3404"/>
      <c r="R47" s="3491">
        <f>E47</f>
        <v>0</v>
      </c>
      <c r="S47" s="3491"/>
      <c r="T47" s="3491">
        <f>G47</f>
        <v>0</v>
      </c>
      <c r="U47" s="3491"/>
      <c r="V47" s="3491">
        <f>I47</f>
        <v>0</v>
      </c>
      <c r="W47" s="3491"/>
      <c r="X47" s="1557"/>
      <c r="Y47" s="1579"/>
      <c r="Z47" s="1557"/>
      <c r="AA47" s="1557"/>
      <c r="AB47" s="1557"/>
      <c r="AC47" s="1557"/>
    </row>
    <row r="48" spans="1:29" ht="15.75" thickBot="1">
      <c r="A48" s="614" t="s">
        <v>2761</v>
      </c>
      <c r="B48" s="886"/>
      <c r="C48" s="2632" t="e">
        <f>R49</f>
        <v>#DIV/0!</v>
      </c>
      <c r="D48" s="2633"/>
      <c r="E48" s="2634" t="e">
        <f>R48</f>
        <v>#DIV/0!</v>
      </c>
      <c r="F48" s="2634"/>
      <c r="G48" s="2632" t="e">
        <f>T48</f>
        <v>#DIV/0!</v>
      </c>
      <c r="H48" s="2633"/>
      <c r="I48" s="2634" t="e">
        <f>V48</f>
        <v>#DIV/0!</v>
      </c>
      <c r="J48" s="2633"/>
      <c r="K48" s="1610"/>
      <c r="L48" s="2143"/>
      <c r="M48" s="2144"/>
      <c r="N48" s="2133"/>
      <c r="O48" s="2144"/>
      <c r="P48" s="3404" t="str">
        <f>A48</f>
        <v>比较价格（元/平方米）</v>
      </c>
      <c r="Q48" s="340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57"/>
      <c r="Y48" s="1557"/>
      <c r="Z48" s="1557"/>
      <c r="AA48" s="1557"/>
      <c r="AB48" s="1557"/>
      <c r="AC48" s="1557"/>
    </row>
    <row r="49" spans="1:29" ht="15.75" thickBot="1">
      <c r="A49" s="620" t="s">
        <v>2931</v>
      </c>
      <c r="B49" s="621"/>
      <c r="C49" s="2635" t="e">
        <f>R49</f>
        <v>#DIV/0!</v>
      </c>
      <c r="D49" s="2635"/>
      <c r="E49" s="2635"/>
      <c r="F49" s="2635"/>
      <c r="G49" s="2635"/>
      <c r="H49" s="2635"/>
      <c r="I49" s="2635"/>
      <c r="J49" s="2635"/>
      <c r="K49" s="1611"/>
      <c r="L49" s="2143"/>
      <c r="M49" s="2144"/>
      <c r="N49" s="2133"/>
      <c r="O49" s="2144"/>
      <c r="P49" s="3426" t="str">
        <f>A49</f>
        <v>估价对象XX用房的比较价格（楼面单价，元/平方米）</v>
      </c>
      <c r="Q49" s="3427"/>
      <c r="R49" s="3490" t="e">
        <f>IF(F1="售价",ROUND(AVERAGE(R48:V48),0),ROUND(AVERAGE(R48:V48),1))</f>
        <v>#DIV/0!</v>
      </c>
      <c r="S49" s="3490"/>
      <c r="T49" s="3490"/>
      <c r="U49" s="3490"/>
      <c r="V49" s="3490"/>
      <c r="W49" s="3490"/>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01"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2557</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6"/>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521</v>
      </c>
      <c r="B4" s="512"/>
      <c r="C4" s="3410" t="s">
        <v>522</v>
      </c>
      <c r="D4" s="3411"/>
      <c r="E4" s="3435" t="s">
        <v>523</v>
      </c>
      <c r="F4" s="3436"/>
      <c r="G4" s="3410" t="s">
        <v>524</v>
      </c>
      <c r="H4" s="3411"/>
      <c r="I4" s="3410" t="s">
        <v>525</v>
      </c>
      <c r="J4" s="3411"/>
      <c r="K4" s="513" t="s">
        <v>526</v>
      </c>
      <c r="L4" s="2132"/>
      <c r="M4" s="2133"/>
      <c r="N4" s="2133"/>
      <c r="O4" s="2133"/>
      <c r="P4" s="3493" t="s">
        <v>527</v>
      </c>
      <c r="Q4" s="3413"/>
      <c r="R4" s="3398" t="s">
        <v>523</v>
      </c>
      <c r="S4" s="3399"/>
      <c r="T4" s="3398" t="s">
        <v>524</v>
      </c>
      <c r="U4" s="3399"/>
      <c r="V4" s="3418" t="s">
        <v>525</v>
      </c>
      <c r="W4" s="3418"/>
      <c r="X4" s="1565"/>
      <c r="Y4" s="3398" t="s">
        <v>527</v>
      </c>
      <c r="Z4" s="3399"/>
      <c r="AA4" s="3393" t="s">
        <v>523</v>
      </c>
      <c r="AB4" s="3393" t="s">
        <v>524</v>
      </c>
      <c r="AC4" s="3393" t="s">
        <v>525</v>
      </c>
    </row>
    <row r="5" spans="1:29" ht="15">
      <c r="A5" s="514"/>
      <c r="B5" s="515"/>
      <c r="C5" s="3421" t="s">
        <v>2925</v>
      </c>
      <c r="D5" s="3422"/>
      <c r="E5" s="3437" t="s">
        <v>2926</v>
      </c>
      <c r="F5" s="3438"/>
      <c r="G5" s="3421" t="s">
        <v>2927</v>
      </c>
      <c r="H5" s="3422"/>
      <c r="I5" s="3421" t="s">
        <v>2928</v>
      </c>
      <c r="J5" s="3422"/>
      <c r="K5" s="513"/>
      <c r="L5" s="2132"/>
      <c r="M5" s="2133"/>
      <c r="N5" s="2133"/>
      <c r="O5" s="2133"/>
      <c r="P5" s="3494"/>
      <c r="Q5" s="3415"/>
      <c r="R5" s="3400"/>
      <c r="S5" s="3401"/>
      <c r="T5" s="3400"/>
      <c r="U5" s="3401"/>
      <c r="V5" s="3418"/>
      <c r="W5" s="3418"/>
      <c r="X5" s="1565"/>
      <c r="Y5" s="3400"/>
      <c r="Z5" s="3401"/>
      <c r="AA5" s="3394"/>
      <c r="AB5" s="3394"/>
      <c r="AC5" s="3394"/>
    </row>
    <row r="6" spans="1:29" ht="15.75" thickBot="1">
      <c r="A6" s="516"/>
      <c r="B6" s="517"/>
      <c r="C6" s="3419" t="s">
        <v>2929</v>
      </c>
      <c r="D6" s="3420"/>
      <c r="E6" s="3439" t="s">
        <v>2929</v>
      </c>
      <c r="F6" s="3440"/>
      <c r="G6" s="3419" t="s">
        <v>2929</v>
      </c>
      <c r="H6" s="3420"/>
      <c r="I6" s="3419" t="s">
        <v>2929</v>
      </c>
      <c r="J6" s="3420"/>
      <c r="K6" s="513" t="s">
        <v>528</v>
      </c>
      <c r="L6" s="2132"/>
      <c r="M6" s="2133"/>
      <c r="N6" s="2133"/>
      <c r="O6" s="2133"/>
      <c r="P6" s="3495"/>
      <c r="Q6" s="3417"/>
      <c r="R6" s="3400"/>
      <c r="S6" s="3401"/>
      <c r="T6" s="3402"/>
      <c r="U6" s="3403"/>
      <c r="V6" s="3418"/>
      <c r="W6" s="3418"/>
      <c r="X6" s="1565"/>
      <c r="Y6" s="3402"/>
      <c r="Z6" s="3403"/>
      <c r="AA6" s="3395"/>
      <c r="AB6" s="3395"/>
      <c r="AC6" s="3395"/>
    </row>
    <row r="7" spans="1:29" s="1218" customFormat="1" ht="15.75" thickBot="1">
      <c r="A7" s="2911"/>
      <c r="B7" s="2918" t="s">
        <v>529</v>
      </c>
      <c r="C7" s="518">
        <f>'数据-取费表'!B2</f>
        <v>43314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05" t="s">
        <v>530</v>
      </c>
      <c r="Q7" s="3405"/>
      <c r="R7" s="1566" t="s">
        <v>8</v>
      </c>
      <c r="S7" s="1567">
        <f t="shared" ref="S7:S15" si="0">F7</f>
        <v>0</v>
      </c>
      <c r="T7" s="1566" t="s">
        <v>8</v>
      </c>
      <c r="U7" s="1567">
        <f t="shared" ref="U7:U15" si="1">H7</f>
        <v>0</v>
      </c>
      <c r="V7" s="1566" t="s">
        <v>8</v>
      </c>
      <c r="W7" s="1567">
        <f t="shared" ref="W7:W15" si="2">J7</f>
        <v>0</v>
      </c>
      <c r="X7" s="1568"/>
      <c r="Y7" s="3396" t="s">
        <v>530</v>
      </c>
      <c r="Z7" s="3397"/>
      <c r="AA7" s="1569" t="e">
        <f>D7/F7</f>
        <v>#DIV/0!</v>
      </c>
      <c r="AB7" s="1569" t="e">
        <f>D7/H7</f>
        <v>#DIV/0!</v>
      </c>
      <c r="AC7" s="1569" t="e">
        <f>D7/J7</f>
        <v>#DIV/0!</v>
      </c>
    </row>
    <row r="8" spans="1:29" s="1218" customFormat="1" ht="15.7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05" t="s">
        <v>533</v>
      </c>
      <c r="Q8" s="3397"/>
      <c r="R8" s="1566" t="s">
        <v>8</v>
      </c>
      <c r="S8" s="1567">
        <f t="shared" si="0"/>
        <v>0</v>
      </c>
      <c r="T8" s="1566" t="s">
        <v>8</v>
      </c>
      <c r="U8" s="1567">
        <f t="shared" si="1"/>
        <v>0</v>
      </c>
      <c r="V8" s="1566" t="s">
        <v>8</v>
      </c>
      <c r="W8" s="1567">
        <f t="shared" si="2"/>
        <v>0</v>
      </c>
      <c r="X8" s="1568"/>
      <c r="Y8" s="3396" t="s">
        <v>533</v>
      </c>
      <c r="Z8" s="3397"/>
      <c r="AA8" s="1569" t="e">
        <f t="shared" ref="AA8:AA47" si="3">D8/F8</f>
        <v>#DIV/0!</v>
      </c>
      <c r="AB8" s="1569" t="e">
        <f t="shared" ref="AB8:AB47" si="4">D8/H8</f>
        <v>#DIV/0!</v>
      </c>
      <c r="AC8" s="1569" t="e">
        <f t="shared" ref="AC8:AC47" si="5">D8/J8</f>
        <v>#DIV/0!</v>
      </c>
    </row>
    <row r="9" spans="1:29" s="1218" customFormat="1" ht="15">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404" t="s">
        <v>535</v>
      </c>
      <c r="Q9" s="1149" t="str">
        <f t="shared" ref="Q9:Q15" si="6">B9</f>
        <v>用途</v>
      </c>
      <c r="R9" s="1566" t="s">
        <v>8</v>
      </c>
      <c r="S9" s="1567">
        <f t="shared" si="0"/>
        <v>100</v>
      </c>
      <c r="T9" s="1566" t="s">
        <v>8</v>
      </c>
      <c r="U9" s="1567">
        <f t="shared" si="1"/>
        <v>100</v>
      </c>
      <c r="V9" s="1566" t="s">
        <v>8</v>
      </c>
      <c r="W9" s="1567">
        <f t="shared" si="2"/>
        <v>100</v>
      </c>
      <c r="X9" s="1568"/>
      <c r="Y9" s="3343" t="s">
        <v>536</v>
      </c>
      <c r="Z9" s="1148" t="str">
        <f t="shared" ref="Z9:Z15" si="7">Q9</f>
        <v>用途</v>
      </c>
      <c r="AA9" s="1569">
        <f t="shared" si="3"/>
        <v>1</v>
      </c>
      <c r="AB9" s="1569">
        <f t="shared" si="4"/>
        <v>1</v>
      </c>
      <c r="AC9" s="1569">
        <f t="shared" si="5"/>
        <v>1</v>
      </c>
    </row>
    <row r="10" spans="1:29" s="1336" customFormat="1" ht="27">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404"/>
      <c r="Q10" s="1149" t="str">
        <f t="shared" si="6"/>
        <v>土地使用年限（年）</v>
      </c>
      <c r="R10" s="1566" t="s">
        <v>8</v>
      </c>
      <c r="S10" s="1567">
        <f t="shared" si="0"/>
        <v>100</v>
      </c>
      <c r="T10" s="1566" t="s">
        <v>8</v>
      </c>
      <c r="U10" s="1567">
        <f t="shared" si="1"/>
        <v>100</v>
      </c>
      <c r="V10" s="1566" t="s">
        <v>8</v>
      </c>
      <c r="W10" s="1567">
        <f t="shared" si="2"/>
        <v>100</v>
      </c>
      <c r="X10" s="1568"/>
      <c r="Y10" s="3343"/>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404"/>
      <c r="Q11" s="1149" t="str">
        <f t="shared" si="6"/>
        <v>容积率</v>
      </c>
      <c r="R11" s="1566" t="s">
        <v>8</v>
      </c>
      <c r="S11" s="1567" t="e">
        <f t="shared" si="0"/>
        <v>#N/A</v>
      </c>
      <c r="T11" s="1566" t="s">
        <v>8</v>
      </c>
      <c r="U11" s="1567" t="e">
        <f t="shared" si="1"/>
        <v>#N/A</v>
      </c>
      <c r="V11" s="1566" t="s">
        <v>8</v>
      </c>
      <c r="W11" s="1567" t="e">
        <f t="shared" si="2"/>
        <v>#N/A</v>
      </c>
      <c r="X11" s="1568"/>
      <c r="Y11" s="3343"/>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404"/>
      <c r="Q12" s="1149">
        <f t="shared" si="6"/>
        <v>111</v>
      </c>
      <c r="R12" s="1566" t="s">
        <v>8</v>
      </c>
      <c r="S12" s="1567">
        <f t="shared" si="0"/>
        <v>100</v>
      </c>
      <c r="T12" s="1566" t="s">
        <v>8</v>
      </c>
      <c r="U12" s="1567">
        <f t="shared" si="1"/>
        <v>100</v>
      </c>
      <c r="V12" s="1566" t="s">
        <v>8</v>
      </c>
      <c r="W12" s="1567">
        <f t="shared" si="2"/>
        <v>100</v>
      </c>
      <c r="X12" s="1568"/>
      <c r="Y12" s="3343"/>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404"/>
      <c r="Q13" s="1149">
        <f t="shared" si="6"/>
        <v>111</v>
      </c>
      <c r="R13" s="1566" t="s">
        <v>8</v>
      </c>
      <c r="S13" s="1567">
        <f t="shared" si="0"/>
        <v>100</v>
      </c>
      <c r="T13" s="1566" t="s">
        <v>8</v>
      </c>
      <c r="U13" s="1567">
        <f t="shared" si="1"/>
        <v>100</v>
      </c>
      <c r="V13" s="1566" t="s">
        <v>8</v>
      </c>
      <c r="W13" s="1567">
        <f t="shared" si="2"/>
        <v>100</v>
      </c>
      <c r="X13" s="1568"/>
      <c r="Y13" s="3343"/>
      <c r="Z13" s="1148">
        <f t="shared" si="7"/>
        <v>111</v>
      </c>
      <c r="AA13" s="1569">
        <f t="shared" si="3"/>
        <v>1</v>
      </c>
      <c r="AB13" s="1569">
        <f t="shared" si="4"/>
        <v>1</v>
      </c>
      <c r="AC13" s="1569">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404"/>
      <c r="Q14" s="1149">
        <f t="shared" si="6"/>
        <v>111</v>
      </c>
      <c r="R14" s="1566" t="s">
        <v>8</v>
      </c>
      <c r="S14" s="1567">
        <f t="shared" si="0"/>
        <v>100</v>
      </c>
      <c r="T14" s="1566" t="s">
        <v>8</v>
      </c>
      <c r="U14" s="1567">
        <f t="shared" si="1"/>
        <v>100</v>
      </c>
      <c r="V14" s="1566" t="s">
        <v>8</v>
      </c>
      <c r="W14" s="1567">
        <f t="shared" si="2"/>
        <v>100</v>
      </c>
      <c r="X14" s="1568"/>
      <c r="Y14" s="3343"/>
      <c r="Z14" s="1148">
        <f t="shared" si="7"/>
        <v>111</v>
      </c>
      <c r="AA14" s="1569">
        <f t="shared" si="3"/>
        <v>1</v>
      </c>
      <c r="AB14" s="1569">
        <f t="shared" si="4"/>
        <v>1</v>
      </c>
      <c r="AC14" s="1569">
        <f t="shared" si="5"/>
        <v>1</v>
      </c>
    </row>
    <row r="15" spans="1:29" ht="15">
      <c r="A15" s="2909" t="s">
        <v>2755</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406" t="s">
        <v>540</v>
      </c>
      <c r="Q15" s="1570" t="str">
        <f t="shared" si="6"/>
        <v>办公集聚程度</v>
      </c>
      <c r="R15" s="1571" t="s">
        <v>8</v>
      </c>
      <c r="S15" s="1572">
        <f t="shared" si="0"/>
        <v>100</v>
      </c>
      <c r="T15" s="1571" t="s">
        <v>8</v>
      </c>
      <c r="U15" s="1572">
        <f t="shared" si="1"/>
        <v>100</v>
      </c>
      <c r="V15" s="1571" t="s">
        <v>8</v>
      </c>
      <c r="W15" s="1572">
        <f t="shared" si="2"/>
        <v>100</v>
      </c>
      <c r="X15" s="1565"/>
      <c r="Y15" s="3406"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407"/>
      <c r="Q16" s="1570"/>
      <c r="R16" s="1571"/>
      <c r="S16" s="1572"/>
      <c r="T16" s="1571"/>
      <c r="U16" s="1572"/>
      <c r="V16" s="1571"/>
      <c r="W16" s="1572"/>
      <c r="X16" s="1565"/>
      <c r="Y16" s="3407"/>
      <c r="Z16" s="1573"/>
      <c r="AA16" s="1574">
        <v>1</v>
      </c>
      <c r="AB16" s="1574">
        <v>1</v>
      </c>
      <c r="AC16" s="1574">
        <v>1</v>
      </c>
    </row>
    <row r="17" spans="1:29" ht="114">
      <c r="A17" s="531"/>
      <c r="B17" s="559" t="s">
        <v>296</v>
      </c>
      <c r="C17" s="572" t="str">
        <f>估价对象房地状况!C6</f>
        <v>估价对象周边道路状况一般、公共交通通达情况一般、停车便捷程度较好，有846、821等公交线路，综合评价交通便捷度较差</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407"/>
      <c r="Q17" s="1570" t="str">
        <f>B17</f>
        <v>交通便捷度</v>
      </c>
      <c r="R17" s="1571" t="s">
        <v>8</v>
      </c>
      <c r="S17" s="1572">
        <f>F17</f>
        <v>100</v>
      </c>
      <c r="T17" s="1571" t="s">
        <v>8</v>
      </c>
      <c r="U17" s="1572">
        <f>H17</f>
        <v>100</v>
      </c>
      <c r="V17" s="1571" t="s">
        <v>8</v>
      </c>
      <c r="W17" s="1572">
        <f>J17</f>
        <v>100</v>
      </c>
      <c r="X17" s="1565"/>
      <c r="Y17" s="3407"/>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407"/>
      <c r="Q18" s="1570"/>
      <c r="R18" s="1571"/>
      <c r="S18" s="1572"/>
      <c r="T18" s="1571"/>
      <c r="U18" s="1572"/>
      <c r="V18" s="1571"/>
      <c r="W18" s="1572"/>
      <c r="X18" s="1565"/>
      <c r="Y18" s="3407"/>
      <c r="Z18" s="1573"/>
      <c r="AA18" s="1574">
        <v>1</v>
      </c>
      <c r="AB18" s="1574">
        <v>1</v>
      </c>
      <c r="AC18" s="1574">
        <v>1</v>
      </c>
    </row>
    <row r="19" spans="1:29" ht="42.75">
      <c r="A19" s="531"/>
      <c r="B19" s="2602" t="s">
        <v>2547</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407"/>
      <c r="Q19" s="1570" t="str">
        <f>B19</f>
        <v>公共配套设施</v>
      </c>
      <c r="R19" s="1571" t="s">
        <v>8</v>
      </c>
      <c r="S19" s="1572">
        <f>F19</f>
        <v>100</v>
      </c>
      <c r="T19" s="1571" t="s">
        <v>8</v>
      </c>
      <c r="U19" s="1572">
        <f>H19</f>
        <v>100</v>
      </c>
      <c r="V19" s="1571" t="s">
        <v>8</v>
      </c>
      <c r="W19" s="1572">
        <f>J19</f>
        <v>100</v>
      </c>
      <c r="X19" s="1565"/>
      <c r="Y19" s="3407"/>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407"/>
      <c r="Q20" s="1570"/>
      <c r="R20" s="1571"/>
      <c r="S20" s="1572"/>
      <c r="T20" s="1571"/>
      <c r="U20" s="1572"/>
      <c r="V20" s="1571"/>
      <c r="W20" s="1572"/>
      <c r="X20" s="1565"/>
      <c r="Y20" s="3407"/>
      <c r="Z20" s="1573"/>
      <c r="AA20" s="1574">
        <v>1</v>
      </c>
      <c r="AB20" s="1574">
        <v>1</v>
      </c>
      <c r="AC20" s="1574">
        <v>1</v>
      </c>
    </row>
    <row r="21" spans="1:29" ht="15">
      <c r="A21" s="531"/>
      <c r="B21" s="2590" t="s">
        <v>2559</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407"/>
      <c r="Q21" s="2578" t="str">
        <f>B21</f>
        <v>基础设施水平</v>
      </c>
      <c r="R21" s="1571" t="s">
        <v>8</v>
      </c>
      <c r="S21" s="1572">
        <f>F21</f>
        <v>100</v>
      </c>
      <c r="T21" s="1571" t="s">
        <v>8</v>
      </c>
      <c r="U21" s="1572">
        <f>H21</f>
        <v>100</v>
      </c>
      <c r="V21" s="1571" t="s">
        <v>8</v>
      </c>
      <c r="W21" s="1572">
        <f>J21</f>
        <v>100</v>
      </c>
      <c r="X21" s="2580"/>
      <c r="Y21" s="3407"/>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407"/>
      <c r="Q22" s="2578"/>
      <c r="R22" s="1571"/>
      <c r="S22" s="1572"/>
      <c r="T22" s="1571"/>
      <c r="U22" s="1572"/>
      <c r="V22" s="1571"/>
      <c r="W22" s="1572"/>
      <c r="X22" s="2580"/>
      <c r="Y22" s="3407"/>
      <c r="Z22" s="2579"/>
      <c r="AA22" s="1574">
        <v>1</v>
      </c>
      <c r="AB22" s="1574">
        <v>1</v>
      </c>
      <c r="AC22" s="1574">
        <v>1</v>
      </c>
    </row>
    <row r="23" spans="1:29" ht="28.5">
      <c r="A23" s="531"/>
      <c r="B23" s="559" t="s">
        <v>778</v>
      </c>
      <c r="C23" s="572" t="str">
        <f>估价对象房地状况!C9</f>
        <v>综合评价环境状况较差</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407"/>
      <c r="Q23" s="1570" t="str">
        <f>B23</f>
        <v>环境质量</v>
      </c>
      <c r="R23" s="1571" t="s">
        <v>8</v>
      </c>
      <c r="S23" s="1572">
        <f>F23</f>
        <v>100</v>
      </c>
      <c r="T23" s="1571" t="s">
        <v>8</v>
      </c>
      <c r="U23" s="1572">
        <f>H23</f>
        <v>100</v>
      </c>
      <c r="V23" s="1571" t="s">
        <v>8</v>
      </c>
      <c r="W23" s="1572">
        <f>J23</f>
        <v>100</v>
      </c>
      <c r="X23" s="1565"/>
      <c r="Y23" s="3407"/>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407"/>
      <c r="Q24" s="1570"/>
      <c r="R24" s="1571"/>
      <c r="S24" s="1572"/>
      <c r="T24" s="1571"/>
      <c r="U24" s="1572"/>
      <c r="V24" s="1571"/>
      <c r="W24" s="1572"/>
      <c r="X24" s="1565"/>
      <c r="Y24" s="3407"/>
      <c r="Z24" s="1573"/>
      <c r="AA24" s="1574">
        <v>1</v>
      </c>
      <c r="AB24" s="1574">
        <v>1</v>
      </c>
      <c r="AC24" s="1574">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407"/>
      <c r="Q25" s="1570" t="str">
        <f>B25</f>
        <v>毗邻道路的类型与等级</v>
      </c>
      <c r="R25" s="1571" t="s">
        <v>8</v>
      </c>
      <c r="S25" s="1572">
        <f>F25</f>
        <v>100</v>
      </c>
      <c r="T25" s="1571" t="s">
        <v>8</v>
      </c>
      <c r="U25" s="1572">
        <f>H25</f>
        <v>100</v>
      </c>
      <c r="V25" s="1571" t="s">
        <v>8</v>
      </c>
      <c r="W25" s="1572">
        <f>J25</f>
        <v>100</v>
      </c>
      <c r="X25" s="1565"/>
      <c r="Y25" s="3407"/>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407"/>
      <c r="Q26" s="1570"/>
      <c r="R26" s="1571"/>
      <c r="S26" s="1572"/>
      <c r="T26" s="1571"/>
      <c r="U26" s="1572"/>
      <c r="V26" s="1571"/>
      <c r="W26" s="1572"/>
      <c r="X26" s="1565"/>
      <c r="Y26" s="3407"/>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07"/>
      <c r="Q27" s="1570" t="str">
        <f t="shared" ref="Q27:Q47" si="11">B27</f>
        <v>楼层</v>
      </c>
      <c r="R27" s="1571" t="s">
        <v>8</v>
      </c>
      <c r="S27" s="1572">
        <f>F27</f>
        <v>100</v>
      </c>
      <c r="T27" s="1571" t="s">
        <v>8</v>
      </c>
      <c r="U27" s="1572">
        <f>H27</f>
        <v>100</v>
      </c>
      <c r="V27" s="1571" t="s">
        <v>8</v>
      </c>
      <c r="W27" s="1572">
        <f>J27</f>
        <v>100</v>
      </c>
      <c r="X27" s="1565"/>
      <c r="Y27" s="3407"/>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407"/>
      <c r="Q28" s="1149" t="str">
        <f t="shared" si="11"/>
        <v>朝向</v>
      </c>
      <c r="R28" s="1566" t="s">
        <v>8</v>
      </c>
      <c r="S28" s="1567">
        <f>F28</f>
        <v>100</v>
      </c>
      <c r="T28" s="1566" t="s">
        <v>8</v>
      </c>
      <c r="U28" s="1567">
        <f>H28</f>
        <v>100</v>
      </c>
      <c r="V28" s="1566" t="s">
        <v>8</v>
      </c>
      <c r="W28" s="1567">
        <f>J28</f>
        <v>100</v>
      </c>
      <c r="X28" s="1568"/>
      <c r="Y28" s="3407"/>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407"/>
      <c r="Q29" s="1570">
        <f t="shared" si="11"/>
        <v>111</v>
      </c>
      <c r="R29" s="1571" t="s">
        <v>8</v>
      </c>
      <c r="S29" s="1572">
        <f t="shared" ref="S29:S47" si="12">F29</f>
        <v>100</v>
      </c>
      <c r="T29" s="1571" t="s">
        <v>8</v>
      </c>
      <c r="U29" s="1572">
        <f t="shared" ref="U29:U47" si="13">H29</f>
        <v>100</v>
      </c>
      <c r="V29" s="1571" t="s">
        <v>8</v>
      </c>
      <c r="W29" s="1572">
        <f t="shared" ref="W29:W47" si="14">J29</f>
        <v>100</v>
      </c>
      <c r="X29" s="1565"/>
      <c r="Y29" s="3407"/>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407"/>
      <c r="Q30" s="1570">
        <f t="shared" si="11"/>
        <v>111</v>
      </c>
      <c r="R30" s="1571" t="s">
        <v>8</v>
      </c>
      <c r="S30" s="1572">
        <f t="shared" si="12"/>
        <v>100</v>
      </c>
      <c r="T30" s="1571" t="s">
        <v>8</v>
      </c>
      <c r="U30" s="1572">
        <f t="shared" si="13"/>
        <v>100</v>
      </c>
      <c r="V30" s="1571" t="s">
        <v>8</v>
      </c>
      <c r="W30" s="1572">
        <f t="shared" si="14"/>
        <v>100</v>
      </c>
      <c r="X30" s="1565"/>
      <c r="Y30" s="3407"/>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407"/>
      <c r="Q31" s="1570">
        <f t="shared" si="11"/>
        <v>111</v>
      </c>
      <c r="R31" s="1571" t="s">
        <v>8</v>
      </c>
      <c r="S31" s="1572">
        <f t="shared" si="12"/>
        <v>100</v>
      </c>
      <c r="T31" s="1571" t="s">
        <v>8</v>
      </c>
      <c r="U31" s="1572">
        <f t="shared" si="13"/>
        <v>100</v>
      </c>
      <c r="V31" s="1571" t="s">
        <v>8</v>
      </c>
      <c r="W31" s="1572">
        <f t="shared" si="14"/>
        <v>100</v>
      </c>
      <c r="X31" s="1565"/>
      <c r="Y31" s="3407"/>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407"/>
      <c r="Q32" s="1570">
        <f t="shared" si="11"/>
        <v>111</v>
      </c>
      <c r="R32" s="1571" t="s">
        <v>8</v>
      </c>
      <c r="S32" s="1572">
        <f t="shared" si="12"/>
        <v>100</v>
      </c>
      <c r="T32" s="1571" t="s">
        <v>8</v>
      </c>
      <c r="U32" s="1572">
        <f t="shared" si="13"/>
        <v>100</v>
      </c>
      <c r="V32" s="1571" t="s">
        <v>8</v>
      </c>
      <c r="W32" s="1572">
        <f t="shared" si="14"/>
        <v>100</v>
      </c>
      <c r="X32" s="1565"/>
      <c r="Y32" s="3407"/>
      <c r="Z32" s="1573">
        <f t="shared" si="15"/>
        <v>111</v>
      </c>
      <c r="AA32" s="1574">
        <f t="shared" si="3"/>
        <v>1</v>
      </c>
      <c r="AB32" s="1574">
        <f t="shared" si="4"/>
        <v>1</v>
      </c>
      <c r="AC32" s="1574">
        <f t="shared" si="5"/>
        <v>1</v>
      </c>
    </row>
    <row r="33" spans="1:29" ht="15">
      <c r="A33" s="2906" t="s">
        <v>2756</v>
      </c>
      <c r="B33" s="171"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408" t="s">
        <v>550</v>
      </c>
      <c r="Q33" s="1570" t="str">
        <f t="shared" si="11"/>
        <v>建筑类型</v>
      </c>
      <c r="R33" s="1571" t="s">
        <v>8</v>
      </c>
      <c r="S33" s="1572">
        <f t="shared" si="12"/>
        <v>100</v>
      </c>
      <c r="T33" s="1571" t="s">
        <v>8</v>
      </c>
      <c r="U33" s="1572">
        <f t="shared" si="13"/>
        <v>100</v>
      </c>
      <c r="V33" s="1571" t="s">
        <v>8</v>
      </c>
      <c r="W33" s="1572">
        <f t="shared" si="14"/>
        <v>100</v>
      </c>
      <c r="X33" s="1565"/>
      <c r="Y33" s="3409"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09"/>
      <c r="Q34" s="1603" t="str">
        <f t="shared" si="11"/>
        <v>项目建筑规模</v>
      </c>
      <c r="R34" s="1575" t="s">
        <v>8</v>
      </c>
      <c r="S34" s="1576" t="e">
        <f t="shared" si="12"/>
        <v>#N/A</v>
      </c>
      <c r="T34" s="1575" t="s">
        <v>8</v>
      </c>
      <c r="U34" s="1576" t="e">
        <f t="shared" si="13"/>
        <v>#N/A</v>
      </c>
      <c r="V34" s="1575" t="s">
        <v>8</v>
      </c>
      <c r="W34" s="1576" t="e">
        <f t="shared" si="14"/>
        <v>#N/A</v>
      </c>
      <c r="X34" s="1577"/>
      <c r="Y34" s="3409"/>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09"/>
      <c r="Q35" s="1570" t="str">
        <f t="shared" si="11"/>
        <v>建筑结构</v>
      </c>
      <c r="R35" s="1571" t="s">
        <v>8</v>
      </c>
      <c r="S35" s="1572">
        <f t="shared" si="12"/>
        <v>100</v>
      </c>
      <c r="T35" s="1571" t="s">
        <v>8</v>
      </c>
      <c r="U35" s="1572">
        <f t="shared" si="13"/>
        <v>100</v>
      </c>
      <c r="V35" s="1571" t="s">
        <v>8</v>
      </c>
      <c r="W35" s="1572">
        <f t="shared" si="14"/>
        <v>100</v>
      </c>
      <c r="X35" s="1565"/>
      <c r="Y35" s="3409"/>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09"/>
      <c r="Q36" s="1570" t="str">
        <f t="shared" si="11"/>
        <v>公共部分装修</v>
      </c>
      <c r="R36" s="1571" t="s">
        <v>8</v>
      </c>
      <c r="S36" s="1572">
        <f t="shared" si="12"/>
        <v>100</v>
      </c>
      <c r="T36" s="1571" t="s">
        <v>8</v>
      </c>
      <c r="U36" s="1572">
        <f t="shared" si="13"/>
        <v>100</v>
      </c>
      <c r="V36" s="1571" t="s">
        <v>8</v>
      </c>
      <c r="W36" s="1572">
        <f t="shared" si="14"/>
        <v>100</v>
      </c>
      <c r="X36" s="1565"/>
      <c r="Y36" s="3409"/>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409"/>
      <c r="Q37" s="1570" t="str">
        <f t="shared" si="11"/>
        <v>成新度</v>
      </c>
      <c r="R37" s="1571" t="s">
        <v>8</v>
      </c>
      <c r="S37" s="1572" t="e">
        <f t="shared" si="12"/>
        <v>#N/A</v>
      </c>
      <c r="T37" s="1571" t="s">
        <v>8</v>
      </c>
      <c r="U37" s="1572" t="e">
        <f t="shared" si="13"/>
        <v>#N/A</v>
      </c>
      <c r="V37" s="1571" t="s">
        <v>8</v>
      </c>
      <c r="W37" s="1572" t="e">
        <f t="shared" si="14"/>
        <v>#N/A</v>
      </c>
      <c r="X37" s="1565"/>
      <c r="Y37" s="3409"/>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09"/>
      <c r="Q38" s="1149" t="str">
        <f t="shared" si="11"/>
        <v>写字楼等级</v>
      </c>
      <c r="R38" s="1566" t="s">
        <v>8</v>
      </c>
      <c r="S38" s="1567">
        <f t="shared" si="12"/>
        <v>100</v>
      </c>
      <c r="T38" s="1566" t="s">
        <v>8</v>
      </c>
      <c r="U38" s="1567">
        <f t="shared" si="13"/>
        <v>100</v>
      </c>
      <c r="V38" s="1566" t="s">
        <v>8</v>
      </c>
      <c r="W38" s="1567">
        <f t="shared" si="14"/>
        <v>100</v>
      </c>
      <c r="X38" s="1568"/>
      <c r="Y38" s="3409"/>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09" t="s">
        <v>550</v>
      </c>
      <c r="Q39" s="1570" t="str">
        <f t="shared" si="11"/>
        <v>物业管理</v>
      </c>
      <c r="R39" s="1571" t="s">
        <v>8</v>
      </c>
      <c r="S39" s="1572">
        <f t="shared" si="12"/>
        <v>100</v>
      </c>
      <c r="T39" s="1571" t="s">
        <v>8</v>
      </c>
      <c r="U39" s="1572">
        <f t="shared" si="13"/>
        <v>100</v>
      </c>
      <c r="V39" s="1571" t="s">
        <v>8</v>
      </c>
      <c r="W39" s="1572">
        <f t="shared" si="14"/>
        <v>100</v>
      </c>
      <c r="X39" s="1565"/>
      <c r="Y39" s="3409" t="s">
        <v>550</v>
      </c>
      <c r="Z39" s="1573" t="str">
        <f t="shared" si="15"/>
        <v>物业管理</v>
      </c>
      <c r="AA39" s="1574">
        <f t="shared" si="3"/>
        <v>1</v>
      </c>
      <c r="AB39" s="1574">
        <f t="shared" si="4"/>
        <v>1</v>
      </c>
      <c r="AC39" s="1574">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09"/>
      <c r="Q40" s="1570" t="str">
        <f t="shared" si="11"/>
        <v>市政基础设施</v>
      </c>
      <c r="R40" s="1571" t="s">
        <v>8</v>
      </c>
      <c r="S40" s="1572">
        <f t="shared" si="12"/>
        <v>100</v>
      </c>
      <c r="T40" s="1571" t="s">
        <v>8</v>
      </c>
      <c r="U40" s="1572">
        <f t="shared" si="13"/>
        <v>100</v>
      </c>
      <c r="V40" s="1571" t="s">
        <v>8</v>
      </c>
      <c r="W40" s="1572">
        <f t="shared" si="14"/>
        <v>100</v>
      </c>
      <c r="X40" s="1565"/>
      <c r="Y40" s="3409"/>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09"/>
      <c r="Q41" s="1570" t="str">
        <f t="shared" si="11"/>
        <v>层高</v>
      </c>
      <c r="R41" s="1571" t="s">
        <v>8</v>
      </c>
      <c r="S41" s="1572">
        <f t="shared" si="12"/>
        <v>100</v>
      </c>
      <c r="T41" s="1571" t="s">
        <v>8</v>
      </c>
      <c r="U41" s="1572">
        <f t="shared" si="13"/>
        <v>100</v>
      </c>
      <c r="V41" s="1571" t="s">
        <v>8</v>
      </c>
      <c r="W41" s="1572">
        <f t="shared" si="14"/>
        <v>100</v>
      </c>
      <c r="X41" s="1565"/>
      <c r="Y41" s="3409"/>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09"/>
      <c r="Q42" s="1603" t="str">
        <f t="shared" si="11"/>
        <v>单套建筑面积</v>
      </c>
      <c r="R42" s="1575" t="s">
        <v>8</v>
      </c>
      <c r="S42" s="1576">
        <f t="shared" si="12"/>
        <v>100</v>
      </c>
      <c r="T42" s="1575" t="s">
        <v>8</v>
      </c>
      <c r="U42" s="1576">
        <f t="shared" si="13"/>
        <v>100</v>
      </c>
      <c r="V42" s="1575" t="s">
        <v>8</v>
      </c>
      <c r="W42" s="1576">
        <f t="shared" si="14"/>
        <v>100</v>
      </c>
      <c r="X42" s="1577"/>
      <c r="Y42" s="3409"/>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09"/>
      <c r="Q43" s="1570" t="str">
        <f t="shared" si="11"/>
        <v>内部装修</v>
      </c>
      <c r="R43" s="1571" t="s">
        <v>8</v>
      </c>
      <c r="S43" s="1572">
        <f t="shared" si="12"/>
        <v>100</v>
      </c>
      <c r="T43" s="1571" t="s">
        <v>8</v>
      </c>
      <c r="U43" s="1572">
        <f t="shared" si="13"/>
        <v>100</v>
      </c>
      <c r="V43" s="1571" t="s">
        <v>8</v>
      </c>
      <c r="W43" s="1572">
        <f t="shared" si="14"/>
        <v>100</v>
      </c>
      <c r="X43" s="1565"/>
      <c r="Y43" s="3409"/>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09"/>
      <c r="Q44" s="1570" t="str">
        <f t="shared" si="11"/>
        <v>内部装修维护情况</v>
      </c>
      <c r="R44" s="1571" t="s">
        <v>8</v>
      </c>
      <c r="S44" s="1572">
        <f t="shared" si="12"/>
        <v>100</v>
      </c>
      <c r="T44" s="1571" t="s">
        <v>8</v>
      </c>
      <c r="U44" s="1572">
        <f t="shared" si="13"/>
        <v>100</v>
      </c>
      <c r="V44" s="1571" t="s">
        <v>8</v>
      </c>
      <c r="W44" s="1572">
        <f t="shared" si="14"/>
        <v>100</v>
      </c>
      <c r="X44" s="1565"/>
      <c r="Y44" s="3409"/>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09"/>
      <c r="Q45" s="1149">
        <f t="shared" si="11"/>
        <v>111</v>
      </c>
      <c r="R45" s="1566" t="s">
        <v>8</v>
      </c>
      <c r="S45" s="1567">
        <f t="shared" si="12"/>
        <v>100</v>
      </c>
      <c r="T45" s="1566" t="s">
        <v>8</v>
      </c>
      <c r="U45" s="1567">
        <f t="shared" si="13"/>
        <v>100</v>
      </c>
      <c r="V45" s="1566" t="s">
        <v>8</v>
      </c>
      <c r="W45" s="1567">
        <f t="shared" si="14"/>
        <v>100</v>
      </c>
      <c r="X45" s="1568"/>
      <c r="Y45" s="3409"/>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09"/>
      <c r="Q46" s="1570">
        <f t="shared" si="11"/>
        <v>111</v>
      </c>
      <c r="R46" s="1571" t="s">
        <v>8</v>
      </c>
      <c r="S46" s="1572">
        <f t="shared" si="12"/>
        <v>100</v>
      </c>
      <c r="T46" s="1571" t="s">
        <v>8</v>
      </c>
      <c r="U46" s="1572">
        <f t="shared" si="13"/>
        <v>100</v>
      </c>
      <c r="V46" s="1571" t="s">
        <v>8</v>
      </c>
      <c r="W46" s="1572">
        <f t="shared" si="14"/>
        <v>100</v>
      </c>
      <c r="X46" s="1565"/>
      <c r="Y46" s="3409"/>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92"/>
      <c r="Q47" s="1570">
        <f t="shared" si="11"/>
        <v>111</v>
      </c>
      <c r="R47" s="1571" t="s">
        <v>8</v>
      </c>
      <c r="S47" s="1572">
        <f t="shared" si="12"/>
        <v>100</v>
      </c>
      <c r="T47" s="1571" t="s">
        <v>8</v>
      </c>
      <c r="U47" s="1572">
        <f t="shared" si="13"/>
        <v>100</v>
      </c>
      <c r="V47" s="1571" t="s">
        <v>8</v>
      </c>
      <c r="W47" s="1572">
        <f t="shared" si="14"/>
        <v>100</v>
      </c>
      <c r="X47" s="1565"/>
      <c r="Y47" s="3492"/>
      <c r="Z47" s="1573">
        <f t="shared" si="15"/>
        <v>111</v>
      </c>
      <c r="AA47" s="1574">
        <f t="shared" si="3"/>
        <v>1</v>
      </c>
      <c r="AB47" s="1574">
        <f t="shared" si="4"/>
        <v>1</v>
      </c>
      <c r="AC47" s="1574">
        <f t="shared" si="5"/>
        <v>1</v>
      </c>
    </row>
    <row r="48" spans="1:29" ht="15">
      <c r="A48" s="606" t="s">
        <v>736</v>
      </c>
      <c r="B48" s="885"/>
      <c r="C48" s="2626" t="s">
        <v>1</v>
      </c>
      <c r="D48" s="2627"/>
      <c r="E48" s="2628"/>
      <c r="F48" s="2629"/>
      <c r="G48" s="2630"/>
      <c r="H48" s="2631"/>
      <c r="I48" s="2628"/>
      <c r="J48" s="2631"/>
      <c r="K48" s="1609"/>
      <c r="L48" s="2143"/>
      <c r="M48" s="2133"/>
      <c r="N48" s="2133"/>
      <c r="O48" s="2133"/>
      <c r="P48" s="3427" t="str">
        <f>A48</f>
        <v>成交单价（元/平方米）</v>
      </c>
      <c r="Q48" s="3404"/>
      <c r="R48" s="3491">
        <f>E48</f>
        <v>0</v>
      </c>
      <c r="S48" s="3491"/>
      <c r="T48" s="3491">
        <f>G48</f>
        <v>0</v>
      </c>
      <c r="U48" s="3491"/>
      <c r="V48" s="3491">
        <f>I48</f>
        <v>0</v>
      </c>
      <c r="W48" s="3491"/>
      <c r="X48" s="1557"/>
      <c r="Y48" s="1579"/>
      <c r="Z48" s="1557"/>
      <c r="AA48" s="1557"/>
      <c r="AB48" s="1557"/>
      <c r="AC48" s="1557"/>
    </row>
    <row r="49" spans="1:29" ht="15.75" thickBot="1">
      <c r="A49" s="614" t="s">
        <v>2761</v>
      </c>
      <c r="B49" s="886"/>
      <c r="C49" s="2632" t="e">
        <f>R50</f>
        <v>#DIV/0!</v>
      </c>
      <c r="D49" s="2633"/>
      <c r="E49" s="2634" t="e">
        <f>R49</f>
        <v>#DIV/0!</v>
      </c>
      <c r="F49" s="2634"/>
      <c r="G49" s="2632" t="e">
        <f>T49</f>
        <v>#DIV/0!</v>
      </c>
      <c r="H49" s="2633"/>
      <c r="I49" s="2634" t="e">
        <f>V49</f>
        <v>#DIV/0!</v>
      </c>
      <c r="J49" s="2633"/>
      <c r="K49" s="1610"/>
      <c r="L49" s="2143"/>
      <c r="M49" s="2133"/>
      <c r="N49" s="2133"/>
      <c r="O49" s="2133"/>
      <c r="P49" s="3427" t="str">
        <f>A49</f>
        <v>比较价格（元/平方米）</v>
      </c>
      <c r="Q49" s="3404"/>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57"/>
      <c r="Y49" s="1557"/>
      <c r="Z49" s="1557"/>
      <c r="AA49" s="1557"/>
      <c r="AB49" s="1557"/>
      <c r="AC49" s="1557"/>
    </row>
    <row r="50" spans="1:29" ht="15.75" thickBot="1">
      <c r="A50" s="620" t="s">
        <v>2931</v>
      </c>
      <c r="B50" s="621"/>
      <c r="C50" s="2635" t="e">
        <f>R50</f>
        <v>#DIV/0!</v>
      </c>
      <c r="D50" s="2635"/>
      <c r="E50" s="2635"/>
      <c r="F50" s="2635"/>
      <c r="G50" s="2635"/>
      <c r="H50" s="2635"/>
      <c r="I50" s="2635"/>
      <c r="J50" s="2635"/>
      <c r="K50" s="1611"/>
      <c r="L50" s="2143"/>
      <c r="M50" s="2133"/>
      <c r="N50" s="2133"/>
      <c r="O50" s="2133"/>
      <c r="P50" s="3496" t="str">
        <f>A50</f>
        <v>估价对象XX用房的比较价格（楼面单价，元/平方米）</v>
      </c>
      <c r="Q50" s="3427"/>
      <c r="R50" s="3490" t="e">
        <f>IF(F1="售价",ROUND(AVERAGE(R49:V49),0),ROUND(AVERAGE(R49:V49),1))</f>
        <v>#DIV/0!</v>
      </c>
      <c r="S50" s="3490"/>
      <c r="T50" s="3490"/>
      <c r="U50" s="3490"/>
      <c r="V50" s="3490"/>
      <c r="W50" s="3490"/>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529</v>
      </c>
      <c r="B59" s="645"/>
      <c r="C59" s="2801" t="str">
        <f>YEAR(C7)&amp;"-"&amp;MONTH(C7)</f>
        <v>2018-8</v>
      </c>
      <c r="D59" s="2803">
        <f>EDATE(C59,-1)</f>
        <v>43282</v>
      </c>
      <c r="E59" s="2803">
        <f t="shared" ref="E59:O59" si="16">EDATE(D59,-1)</f>
        <v>43252</v>
      </c>
      <c r="F59" s="2803">
        <f t="shared" si="16"/>
        <v>43221</v>
      </c>
      <c r="G59" s="2803">
        <f t="shared" si="16"/>
        <v>43191</v>
      </c>
      <c r="H59" s="2803">
        <f t="shared" si="16"/>
        <v>43160</v>
      </c>
      <c r="I59" s="2803">
        <f t="shared" si="16"/>
        <v>43132</v>
      </c>
      <c r="J59" s="2803">
        <f t="shared" si="16"/>
        <v>43101</v>
      </c>
      <c r="K59" s="2803">
        <f t="shared" si="16"/>
        <v>43070</v>
      </c>
      <c r="L59" s="2803">
        <f t="shared" si="16"/>
        <v>43040</v>
      </c>
      <c r="M59" s="2803">
        <f t="shared" si="16"/>
        <v>43009</v>
      </c>
      <c r="N59" s="2803">
        <f t="shared" si="16"/>
        <v>42979</v>
      </c>
      <c r="O59" s="2803">
        <f t="shared" si="16"/>
        <v>42948</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596" t="s">
        <v>2559</v>
      </c>
      <c r="C83" s="2597" t="s">
        <v>2560</v>
      </c>
      <c r="D83" s="2597" t="s">
        <v>2561</v>
      </c>
      <c r="E83" s="2597" t="s">
        <v>2562</v>
      </c>
      <c r="F83" s="2597" t="s">
        <v>2563</v>
      </c>
      <c r="G83" s="2597" t="s">
        <v>2564</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785</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787</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521</v>
      </c>
      <c r="B4" s="512"/>
      <c r="C4" s="3410" t="s">
        <v>522</v>
      </c>
      <c r="D4" s="3411"/>
      <c r="E4" s="3435" t="s">
        <v>523</v>
      </c>
      <c r="F4" s="3436"/>
      <c r="G4" s="3410" t="s">
        <v>524</v>
      </c>
      <c r="H4" s="3411"/>
      <c r="I4" s="3410" t="s">
        <v>525</v>
      </c>
      <c r="J4" s="3411"/>
      <c r="K4" s="513" t="s">
        <v>526</v>
      </c>
      <c r="L4" s="2132"/>
      <c r="M4" s="2133"/>
      <c r="N4" s="2133"/>
      <c r="O4" s="2133"/>
      <c r="P4" s="3412" t="s">
        <v>527</v>
      </c>
      <c r="Q4" s="3413"/>
      <c r="R4" s="3398" t="s">
        <v>523</v>
      </c>
      <c r="S4" s="3399"/>
      <c r="T4" s="3398" t="s">
        <v>524</v>
      </c>
      <c r="U4" s="3399"/>
      <c r="V4" s="3418" t="s">
        <v>525</v>
      </c>
      <c r="W4" s="3418"/>
      <c r="X4" s="1565"/>
      <c r="Y4" s="3398" t="s">
        <v>527</v>
      </c>
      <c r="Z4" s="3399"/>
      <c r="AA4" s="3393" t="s">
        <v>523</v>
      </c>
      <c r="AB4" s="3394" t="s">
        <v>524</v>
      </c>
      <c r="AC4" s="3393" t="s">
        <v>525</v>
      </c>
    </row>
    <row r="5" spans="1:29" ht="15">
      <c r="A5" s="514"/>
      <c r="B5" s="515"/>
      <c r="C5" s="3421" t="s">
        <v>2925</v>
      </c>
      <c r="D5" s="3422"/>
      <c r="E5" s="3437" t="s">
        <v>2926</v>
      </c>
      <c r="F5" s="3438"/>
      <c r="G5" s="3421" t="s">
        <v>2927</v>
      </c>
      <c r="H5" s="3422"/>
      <c r="I5" s="3421" t="s">
        <v>2928</v>
      </c>
      <c r="J5" s="3422"/>
      <c r="K5" s="513"/>
      <c r="L5" s="2132"/>
      <c r="M5" s="2133"/>
      <c r="N5" s="2133"/>
      <c r="O5" s="2133"/>
      <c r="P5" s="3414"/>
      <c r="Q5" s="3415"/>
      <c r="R5" s="3400"/>
      <c r="S5" s="3401"/>
      <c r="T5" s="3400"/>
      <c r="U5" s="3401"/>
      <c r="V5" s="3418"/>
      <c r="W5" s="3418"/>
      <c r="X5" s="1565"/>
      <c r="Y5" s="3400"/>
      <c r="Z5" s="3401"/>
      <c r="AA5" s="3394"/>
      <c r="AB5" s="3394"/>
      <c r="AC5" s="3394"/>
    </row>
    <row r="6" spans="1:29" ht="15.75" thickBot="1">
      <c r="A6" s="516"/>
      <c r="B6" s="517"/>
      <c r="C6" s="3419" t="s">
        <v>2929</v>
      </c>
      <c r="D6" s="3420"/>
      <c r="E6" s="3439" t="s">
        <v>2929</v>
      </c>
      <c r="F6" s="3440"/>
      <c r="G6" s="3419" t="s">
        <v>2929</v>
      </c>
      <c r="H6" s="3420"/>
      <c r="I6" s="3419" t="s">
        <v>2929</v>
      </c>
      <c r="J6" s="3420"/>
      <c r="K6" s="513" t="s">
        <v>528</v>
      </c>
      <c r="L6" s="2132"/>
      <c r="M6" s="2133"/>
      <c r="N6" s="2133"/>
      <c r="O6" s="2133"/>
      <c r="P6" s="3416"/>
      <c r="Q6" s="3417"/>
      <c r="R6" s="3400"/>
      <c r="S6" s="3401"/>
      <c r="T6" s="3402"/>
      <c r="U6" s="3403"/>
      <c r="V6" s="3418"/>
      <c r="W6" s="3418"/>
      <c r="X6" s="1565"/>
      <c r="Y6" s="3402"/>
      <c r="Z6" s="3403"/>
      <c r="AA6" s="3395"/>
      <c r="AB6" s="3395"/>
      <c r="AC6" s="3395"/>
    </row>
    <row r="7" spans="1:29" s="1218" customFormat="1" ht="15.75" thickBot="1">
      <c r="A7" s="2911"/>
      <c r="B7" s="2918" t="s">
        <v>529</v>
      </c>
      <c r="C7" s="518">
        <f>'数据-取费表'!B2</f>
        <v>43314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96" t="s">
        <v>530</v>
      </c>
      <c r="Q7" s="3405"/>
      <c r="R7" s="1566" t="s">
        <v>8</v>
      </c>
      <c r="S7" s="1567">
        <f t="shared" ref="S7:S15" si="0">F7</f>
        <v>0</v>
      </c>
      <c r="T7" s="1566" t="s">
        <v>8</v>
      </c>
      <c r="U7" s="1567">
        <f t="shared" ref="U7:U15" si="1">H7</f>
        <v>0</v>
      </c>
      <c r="V7" s="1566" t="s">
        <v>8</v>
      </c>
      <c r="W7" s="1567">
        <f t="shared" ref="W7:W15" si="2">J7</f>
        <v>0</v>
      </c>
      <c r="X7" s="1568"/>
      <c r="Y7" s="3396" t="s">
        <v>530</v>
      </c>
      <c r="Z7" s="3397"/>
      <c r="AA7" s="1569" t="e">
        <f>D7/F7</f>
        <v>#DIV/0!</v>
      </c>
      <c r="AB7" s="1569" t="e">
        <f>D7/H7</f>
        <v>#DIV/0!</v>
      </c>
      <c r="AC7" s="1569" t="e">
        <f>D7/J7</f>
        <v>#DIV/0!</v>
      </c>
    </row>
    <row r="8" spans="1:29" s="1218" customFormat="1" ht="15.7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96" t="s">
        <v>533</v>
      </c>
      <c r="Q8" s="3397"/>
      <c r="R8" s="1566" t="s">
        <v>8</v>
      </c>
      <c r="S8" s="1567">
        <f t="shared" si="0"/>
        <v>0</v>
      </c>
      <c r="T8" s="1566" t="s">
        <v>8</v>
      </c>
      <c r="U8" s="1567">
        <f t="shared" si="1"/>
        <v>0</v>
      </c>
      <c r="V8" s="1566" t="s">
        <v>8</v>
      </c>
      <c r="W8" s="1567">
        <f t="shared" si="2"/>
        <v>0</v>
      </c>
      <c r="X8" s="1568"/>
      <c r="Y8" s="3396" t="s">
        <v>533</v>
      </c>
      <c r="Z8" s="3397"/>
      <c r="AA8" s="1569" t="e">
        <f t="shared" ref="AA8:AA40" si="3">D8/F8</f>
        <v>#DIV/0!</v>
      </c>
      <c r="AB8" s="1569" t="e">
        <f t="shared" ref="AB8:AB40" si="4">D8/H8</f>
        <v>#DIV/0!</v>
      </c>
      <c r="AC8" s="1569" t="e">
        <f t="shared" ref="AC8:AC40" si="5">D8/J8</f>
        <v>#DIV/0!</v>
      </c>
    </row>
    <row r="9" spans="1:29" s="1218" customFormat="1" ht="15">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404" t="s">
        <v>535</v>
      </c>
      <c r="Q9" s="1149" t="str">
        <f t="shared" ref="Q9:Q15" si="6">B9</f>
        <v>用途</v>
      </c>
      <c r="R9" s="1566" t="s">
        <v>8</v>
      </c>
      <c r="S9" s="1567">
        <f t="shared" si="0"/>
        <v>100</v>
      </c>
      <c r="T9" s="1566" t="s">
        <v>8</v>
      </c>
      <c r="U9" s="1567">
        <f t="shared" si="1"/>
        <v>100</v>
      </c>
      <c r="V9" s="1566" t="s">
        <v>8</v>
      </c>
      <c r="W9" s="1567">
        <f t="shared" si="2"/>
        <v>100</v>
      </c>
      <c r="X9" s="1568"/>
      <c r="Y9" s="3343" t="s">
        <v>536</v>
      </c>
      <c r="Z9" s="1148" t="str">
        <f t="shared" ref="Z9:Z15" si="7">Q9</f>
        <v>用途</v>
      </c>
      <c r="AA9" s="1569">
        <f t="shared" si="3"/>
        <v>1</v>
      </c>
      <c r="AB9" s="1569">
        <f t="shared" si="4"/>
        <v>1</v>
      </c>
      <c r="AC9" s="1569">
        <f t="shared" si="5"/>
        <v>1</v>
      </c>
    </row>
    <row r="10" spans="1:29" s="1336" customFormat="1" ht="27">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404"/>
      <c r="Q10" s="1149" t="str">
        <f t="shared" si="6"/>
        <v>土地使用年限（年）</v>
      </c>
      <c r="R10" s="1566" t="s">
        <v>8</v>
      </c>
      <c r="S10" s="1567">
        <f t="shared" si="0"/>
        <v>100</v>
      </c>
      <c r="T10" s="1566" t="s">
        <v>8</v>
      </c>
      <c r="U10" s="1567">
        <f t="shared" si="1"/>
        <v>100</v>
      </c>
      <c r="V10" s="1566" t="s">
        <v>8</v>
      </c>
      <c r="W10" s="1567">
        <f t="shared" si="2"/>
        <v>100</v>
      </c>
      <c r="X10" s="1568"/>
      <c r="Y10" s="3343"/>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404"/>
      <c r="Q11" s="1149" t="str">
        <f t="shared" si="6"/>
        <v>容积率</v>
      </c>
      <c r="R11" s="1566" t="s">
        <v>8</v>
      </c>
      <c r="S11" s="1567" t="e">
        <f t="shared" si="0"/>
        <v>#N/A</v>
      </c>
      <c r="T11" s="1566" t="s">
        <v>8</v>
      </c>
      <c r="U11" s="1567" t="e">
        <f t="shared" si="1"/>
        <v>#N/A</v>
      </c>
      <c r="V11" s="1566" t="s">
        <v>8</v>
      </c>
      <c r="W11" s="1567" t="e">
        <f t="shared" si="2"/>
        <v>#N/A</v>
      </c>
      <c r="X11" s="1568"/>
      <c r="Y11" s="3343"/>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404"/>
      <c r="Q12" s="1149">
        <f t="shared" si="6"/>
        <v>111</v>
      </c>
      <c r="R12" s="1566" t="s">
        <v>8</v>
      </c>
      <c r="S12" s="1567">
        <f t="shared" si="0"/>
        <v>100</v>
      </c>
      <c r="T12" s="1566" t="s">
        <v>8</v>
      </c>
      <c r="U12" s="1567">
        <f t="shared" si="1"/>
        <v>100</v>
      </c>
      <c r="V12" s="1566" t="s">
        <v>8</v>
      </c>
      <c r="W12" s="1567">
        <f t="shared" si="2"/>
        <v>100</v>
      </c>
      <c r="X12" s="1568"/>
      <c r="Y12" s="3343"/>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404"/>
      <c r="Q13" s="1149">
        <f t="shared" si="6"/>
        <v>111</v>
      </c>
      <c r="R13" s="1566" t="s">
        <v>8</v>
      </c>
      <c r="S13" s="1567">
        <f t="shared" si="0"/>
        <v>100</v>
      </c>
      <c r="T13" s="1566" t="s">
        <v>8</v>
      </c>
      <c r="U13" s="1567">
        <f t="shared" si="1"/>
        <v>100</v>
      </c>
      <c r="V13" s="1566" t="s">
        <v>8</v>
      </c>
      <c r="W13" s="1567">
        <f t="shared" si="2"/>
        <v>100</v>
      </c>
      <c r="X13" s="1568"/>
      <c r="Y13" s="3343"/>
      <c r="Z13" s="1148">
        <f t="shared" si="7"/>
        <v>111</v>
      </c>
      <c r="AA13" s="1569">
        <f t="shared" si="3"/>
        <v>1</v>
      </c>
      <c r="AB13" s="1569">
        <f t="shared" si="4"/>
        <v>1</v>
      </c>
      <c r="AC13" s="1569">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404"/>
      <c r="Q14" s="1149">
        <f t="shared" si="6"/>
        <v>111</v>
      </c>
      <c r="R14" s="1566" t="s">
        <v>8</v>
      </c>
      <c r="S14" s="1567">
        <f t="shared" si="0"/>
        <v>100</v>
      </c>
      <c r="T14" s="1566" t="s">
        <v>8</v>
      </c>
      <c r="U14" s="1567">
        <f t="shared" si="1"/>
        <v>100</v>
      </c>
      <c r="V14" s="1566" t="s">
        <v>8</v>
      </c>
      <c r="W14" s="1567">
        <f t="shared" si="2"/>
        <v>100</v>
      </c>
      <c r="X14" s="1568"/>
      <c r="Y14" s="3343"/>
      <c r="Z14" s="1148">
        <f t="shared" si="7"/>
        <v>111</v>
      </c>
      <c r="AA14" s="1569">
        <f t="shared" si="3"/>
        <v>1</v>
      </c>
      <c r="AB14" s="1569">
        <f t="shared" si="4"/>
        <v>1</v>
      </c>
      <c r="AC14" s="1569">
        <f t="shared" si="5"/>
        <v>1</v>
      </c>
    </row>
    <row r="15" spans="1:29" ht="57">
      <c r="A15" s="2909" t="s">
        <v>2755</v>
      </c>
      <c r="B15" s="165"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406" t="s">
        <v>540</v>
      </c>
      <c r="Q15" s="1570" t="str">
        <f t="shared" si="6"/>
        <v>产业集聚程度</v>
      </c>
      <c r="R15" s="1571" t="s">
        <v>8</v>
      </c>
      <c r="S15" s="1572">
        <f t="shared" si="0"/>
        <v>100</v>
      </c>
      <c r="T15" s="1571" t="s">
        <v>8</v>
      </c>
      <c r="U15" s="1572">
        <f t="shared" si="1"/>
        <v>100</v>
      </c>
      <c r="V15" s="1571" t="s">
        <v>8</v>
      </c>
      <c r="W15" s="1572">
        <f t="shared" si="2"/>
        <v>100</v>
      </c>
      <c r="X15" s="1565"/>
      <c r="Y15" s="3406"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07"/>
      <c r="Q16" s="1570"/>
      <c r="R16" s="1571"/>
      <c r="S16" s="1572"/>
      <c r="T16" s="1571"/>
      <c r="U16" s="1572"/>
      <c r="V16" s="1571"/>
      <c r="W16" s="1572"/>
      <c r="X16" s="1565"/>
      <c r="Y16" s="3407"/>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407"/>
      <c r="Q17" s="1570" t="str">
        <f>B17</f>
        <v>交通便捷度</v>
      </c>
      <c r="R17" s="1571" t="s">
        <v>8</v>
      </c>
      <c r="S17" s="1572">
        <f>F17</f>
        <v>100</v>
      </c>
      <c r="T17" s="1571" t="s">
        <v>8</v>
      </c>
      <c r="U17" s="1572">
        <f>H17</f>
        <v>100</v>
      </c>
      <c r="V17" s="1571" t="s">
        <v>8</v>
      </c>
      <c r="W17" s="1572">
        <f>J17</f>
        <v>100</v>
      </c>
      <c r="X17" s="1565"/>
      <c r="Y17" s="340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07"/>
      <c r="Q18" s="1570"/>
      <c r="R18" s="1571"/>
      <c r="S18" s="1572"/>
      <c r="T18" s="1571"/>
      <c r="U18" s="1572"/>
      <c r="V18" s="1571"/>
      <c r="W18" s="1572"/>
      <c r="X18" s="1565"/>
      <c r="Y18" s="3407"/>
      <c r="Z18" s="1573"/>
      <c r="AA18" s="1574">
        <v>1</v>
      </c>
      <c r="AB18" s="1574">
        <v>1</v>
      </c>
      <c r="AC18" s="1574">
        <v>1</v>
      </c>
    </row>
    <row r="19" spans="1:29" ht="42.75">
      <c r="A19" s="531"/>
      <c r="B19" s="260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407"/>
      <c r="Q19" s="1570" t="str">
        <f>B19</f>
        <v>公共配套设施</v>
      </c>
      <c r="R19" s="1571" t="s">
        <v>8</v>
      </c>
      <c r="S19" s="1572">
        <f>F19</f>
        <v>100</v>
      </c>
      <c r="T19" s="1571" t="s">
        <v>8</v>
      </c>
      <c r="U19" s="1572">
        <f>H19</f>
        <v>100</v>
      </c>
      <c r="V19" s="1571" t="s">
        <v>8</v>
      </c>
      <c r="W19" s="1572">
        <f>J19</f>
        <v>100</v>
      </c>
      <c r="X19" s="1565"/>
      <c r="Y19" s="3407"/>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407"/>
      <c r="Q20" s="1570"/>
      <c r="R20" s="1571"/>
      <c r="S20" s="1572"/>
      <c r="T20" s="1571"/>
      <c r="U20" s="1572"/>
      <c r="V20" s="1571"/>
      <c r="W20" s="1572"/>
      <c r="X20" s="1565"/>
      <c r="Y20" s="3407"/>
      <c r="Z20" s="1573"/>
      <c r="AA20" s="1574">
        <v>1</v>
      </c>
      <c r="AB20" s="1574">
        <v>1</v>
      </c>
      <c r="AC20" s="1574">
        <v>1</v>
      </c>
    </row>
    <row r="21" spans="1:29" ht="28.5">
      <c r="A21" s="531"/>
      <c r="B21" s="259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407"/>
      <c r="Q21" s="2578" t="str">
        <f>B21</f>
        <v>基础设施水平</v>
      </c>
      <c r="R21" s="1571" t="s">
        <v>8</v>
      </c>
      <c r="S21" s="1572">
        <f>F21</f>
        <v>100</v>
      </c>
      <c r="T21" s="1571" t="s">
        <v>8</v>
      </c>
      <c r="U21" s="1572">
        <f>H21</f>
        <v>100</v>
      </c>
      <c r="V21" s="1571" t="s">
        <v>8</v>
      </c>
      <c r="W21" s="1572">
        <f>J21</f>
        <v>100</v>
      </c>
      <c r="X21" s="2580"/>
      <c r="Y21" s="3407"/>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407"/>
      <c r="Q22" s="2578"/>
      <c r="R22" s="1571"/>
      <c r="S22" s="1572"/>
      <c r="T22" s="1571"/>
      <c r="U22" s="1572"/>
      <c r="V22" s="1571"/>
      <c r="W22" s="1572"/>
      <c r="X22" s="2580"/>
      <c r="Y22" s="3407"/>
      <c r="Z22" s="2579"/>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407"/>
      <c r="Q23" s="1570" t="str">
        <f>B23</f>
        <v>环境质量</v>
      </c>
      <c r="R23" s="1571" t="s">
        <v>8</v>
      </c>
      <c r="S23" s="1572">
        <f>F23</f>
        <v>100</v>
      </c>
      <c r="T23" s="1571" t="s">
        <v>8</v>
      </c>
      <c r="U23" s="1572">
        <f>H23</f>
        <v>100</v>
      </c>
      <c r="V23" s="1571" t="s">
        <v>8</v>
      </c>
      <c r="W23" s="1572">
        <f>J23</f>
        <v>100</v>
      </c>
      <c r="X23" s="1565"/>
      <c r="Y23" s="3407"/>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407"/>
      <c r="Q24" s="1570"/>
      <c r="R24" s="1571"/>
      <c r="S24" s="1572"/>
      <c r="T24" s="1571"/>
      <c r="U24" s="1572"/>
      <c r="V24" s="1571"/>
      <c r="W24" s="1572"/>
      <c r="X24" s="1565"/>
      <c r="Y24" s="3407"/>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07"/>
      <c r="Q25" s="1570">
        <f>B25</f>
        <v>111</v>
      </c>
      <c r="R25" s="1571" t="s">
        <v>8</v>
      </c>
      <c r="S25" s="1572">
        <f>F25</f>
        <v>100</v>
      </c>
      <c r="T25" s="1571" t="s">
        <v>8</v>
      </c>
      <c r="U25" s="1572">
        <f>H25</f>
        <v>100</v>
      </c>
      <c r="V25" s="1571" t="s">
        <v>8</v>
      </c>
      <c r="W25" s="1572">
        <f>J25</f>
        <v>100</v>
      </c>
      <c r="X25" s="1565"/>
      <c r="Y25" s="3407"/>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07"/>
      <c r="Q26" s="1570">
        <f t="shared" ref="Q26:Q40" si="11">B26</f>
        <v>111</v>
      </c>
      <c r="R26" s="1571" t="s">
        <v>8</v>
      </c>
      <c r="S26" s="1572">
        <f>F26</f>
        <v>100</v>
      </c>
      <c r="T26" s="1571" t="s">
        <v>8</v>
      </c>
      <c r="U26" s="1572">
        <f>H26</f>
        <v>100</v>
      </c>
      <c r="V26" s="1571" t="s">
        <v>8</v>
      </c>
      <c r="W26" s="1572">
        <f>J26</f>
        <v>100</v>
      </c>
      <c r="X26" s="1565"/>
      <c r="Y26" s="3407"/>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07"/>
      <c r="Q27" s="1149">
        <f t="shared" si="11"/>
        <v>111</v>
      </c>
      <c r="R27" s="1566" t="s">
        <v>8</v>
      </c>
      <c r="S27" s="1567">
        <f>F27</f>
        <v>100</v>
      </c>
      <c r="T27" s="1566" t="s">
        <v>8</v>
      </c>
      <c r="U27" s="1567">
        <f>H27</f>
        <v>100</v>
      </c>
      <c r="V27" s="1566" t="s">
        <v>8</v>
      </c>
      <c r="W27" s="1567">
        <f>J27</f>
        <v>100</v>
      </c>
      <c r="X27" s="1568"/>
      <c r="Y27" s="3407"/>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407"/>
      <c r="Q28" s="1570">
        <f t="shared" si="11"/>
        <v>111</v>
      </c>
      <c r="R28" s="1571" t="s">
        <v>8</v>
      </c>
      <c r="S28" s="1572">
        <f t="shared" ref="S28:S40" si="12">F28</f>
        <v>100</v>
      </c>
      <c r="T28" s="1571" t="s">
        <v>8</v>
      </c>
      <c r="U28" s="1572">
        <f t="shared" ref="U28:U40" si="13">H28</f>
        <v>100</v>
      </c>
      <c r="V28" s="1571" t="s">
        <v>8</v>
      </c>
      <c r="W28" s="1572">
        <f t="shared" ref="W28:W40" si="14">J28</f>
        <v>100</v>
      </c>
      <c r="X28" s="1565"/>
      <c r="Y28" s="3407"/>
      <c r="Z28" s="1573">
        <f t="shared" ref="Z28:Z40" si="15">Q28</f>
        <v>111</v>
      </c>
      <c r="AA28" s="1574">
        <f t="shared" si="3"/>
        <v>1</v>
      </c>
      <c r="AB28" s="1574">
        <f t="shared" si="4"/>
        <v>1</v>
      </c>
      <c r="AC28" s="1574">
        <f t="shared" si="5"/>
        <v>1</v>
      </c>
    </row>
    <row r="29" spans="1:29" ht="15">
      <c r="A29" s="2906" t="s">
        <v>2756</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408" t="s">
        <v>550</v>
      </c>
      <c r="Q29" s="1570" t="str">
        <f t="shared" si="11"/>
        <v>建筑类型</v>
      </c>
      <c r="R29" s="1571" t="s">
        <v>8</v>
      </c>
      <c r="S29" s="1572">
        <f t="shared" si="12"/>
        <v>100</v>
      </c>
      <c r="T29" s="1571" t="s">
        <v>8</v>
      </c>
      <c r="U29" s="1572">
        <f t="shared" si="13"/>
        <v>100</v>
      </c>
      <c r="V29" s="1571" t="s">
        <v>8</v>
      </c>
      <c r="W29" s="1572">
        <f t="shared" si="14"/>
        <v>100</v>
      </c>
      <c r="X29" s="1565"/>
      <c r="Y29" s="3409"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09"/>
      <c r="Q30" s="1603" t="str">
        <f t="shared" si="11"/>
        <v>项目建筑规模</v>
      </c>
      <c r="R30" s="1575" t="s">
        <v>8</v>
      </c>
      <c r="S30" s="1576" t="e">
        <f t="shared" si="12"/>
        <v>#N/A</v>
      </c>
      <c r="T30" s="1575" t="s">
        <v>8</v>
      </c>
      <c r="U30" s="1576" t="e">
        <f t="shared" si="13"/>
        <v>#N/A</v>
      </c>
      <c r="V30" s="1575" t="s">
        <v>8</v>
      </c>
      <c r="W30" s="1576" t="e">
        <f t="shared" si="14"/>
        <v>#N/A</v>
      </c>
      <c r="X30" s="1577"/>
      <c r="Y30" s="3409"/>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09"/>
      <c r="Q31" s="1570" t="str">
        <f t="shared" si="11"/>
        <v>建筑结构</v>
      </c>
      <c r="R31" s="1571" t="s">
        <v>8</v>
      </c>
      <c r="S31" s="1572">
        <f t="shared" si="12"/>
        <v>100</v>
      </c>
      <c r="T31" s="1571" t="s">
        <v>8</v>
      </c>
      <c r="U31" s="1572">
        <f t="shared" si="13"/>
        <v>100</v>
      </c>
      <c r="V31" s="1571" t="s">
        <v>8</v>
      </c>
      <c r="W31" s="1572">
        <f t="shared" si="14"/>
        <v>100</v>
      </c>
      <c r="X31" s="1565"/>
      <c r="Y31" s="3409"/>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09"/>
      <c r="Q32" s="1570" t="str">
        <f t="shared" si="11"/>
        <v>公共部分装修</v>
      </c>
      <c r="R32" s="1571" t="s">
        <v>8</v>
      </c>
      <c r="S32" s="1572">
        <f t="shared" si="12"/>
        <v>100</v>
      </c>
      <c r="T32" s="1571" t="s">
        <v>8</v>
      </c>
      <c r="U32" s="1572">
        <f t="shared" si="13"/>
        <v>100</v>
      </c>
      <c r="V32" s="1571" t="s">
        <v>8</v>
      </c>
      <c r="W32" s="1572">
        <f t="shared" si="14"/>
        <v>100</v>
      </c>
      <c r="X32" s="1565"/>
      <c r="Y32" s="3409"/>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409"/>
      <c r="Q33" s="1570" t="str">
        <f t="shared" si="11"/>
        <v>成新度</v>
      </c>
      <c r="R33" s="1571" t="s">
        <v>8</v>
      </c>
      <c r="S33" s="1572" t="e">
        <f t="shared" si="12"/>
        <v>#N/A</v>
      </c>
      <c r="T33" s="1571" t="s">
        <v>8</v>
      </c>
      <c r="U33" s="1572" t="e">
        <f t="shared" si="13"/>
        <v>#N/A</v>
      </c>
      <c r="V33" s="1571" t="s">
        <v>8</v>
      </c>
      <c r="W33" s="1572" t="e">
        <f t="shared" si="14"/>
        <v>#N/A</v>
      </c>
      <c r="X33" s="1565"/>
      <c r="Y33" s="3409"/>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09"/>
      <c r="Q34" s="1149" t="str">
        <f t="shared" si="11"/>
        <v>物业管理</v>
      </c>
      <c r="R34" s="1566" t="s">
        <v>8</v>
      </c>
      <c r="S34" s="1567">
        <f t="shared" si="12"/>
        <v>100</v>
      </c>
      <c r="T34" s="1566" t="s">
        <v>8</v>
      </c>
      <c r="U34" s="1567">
        <f t="shared" si="13"/>
        <v>100</v>
      </c>
      <c r="V34" s="1566" t="s">
        <v>8</v>
      </c>
      <c r="W34" s="1567">
        <f t="shared" si="14"/>
        <v>100</v>
      </c>
      <c r="X34" s="1568"/>
      <c r="Y34" s="3409"/>
      <c r="Z34" s="1148" t="str">
        <f t="shared" si="15"/>
        <v>物业管理</v>
      </c>
      <c r="AA34" s="1569">
        <f t="shared" si="3"/>
        <v>1</v>
      </c>
      <c r="AB34" s="1569">
        <f t="shared" si="4"/>
        <v>1</v>
      </c>
      <c r="AC34" s="1569">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09" t="s">
        <v>550</v>
      </c>
      <c r="Q35" s="1570" t="str">
        <f t="shared" si="11"/>
        <v>市政基础设施</v>
      </c>
      <c r="R35" s="1571" t="s">
        <v>8</v>
      </c>
      <c r="S35" s="1572">
        <f t="shared" si="12"/>
        <v>100</v>
      </c>
      <c r="T35" s="1571" t="s">
        <v>8</v>
      </c>
      <c r="U35" s="1572">
        <f t="shared" si="13"/>
        <v>100</v>
      </c>
      <c r="V35" s="1571" t="s">
        <v>8</v>
      </c>
      <c r="W35" s="1572">
        <f t="shared" si="14"/>
        <v>100</v>
      </c>
      <c r="X35" s="1565"/>
      <c r="Y35" s="3409"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09"/>
      <c r="Q36" s="1570" t="str">
        <f t="shared" si="11"/>
        <v>内部装修</v>
      </c>
      <c r="R36" s="1571" t="s">
        <v>8</v>
      </c>
      <c r="S36" s="1572">
        <f t="shared" si="12"/>
        <v>100</v>
      </c>
      <c r="T36" s="1571" t="s">
        <v>8</v>
      </c>
      <c r="U36" s="1572">
        <f t="shared" si="13"/>
        <v>100</v>
      </c>
      <c r="V36" s="1571" t="s">
        <v>8</v>
      </c>
      <c r="W36" s="1572">
        <f t="shared" si="14"/>
        <v>100</v>
      </c>
      <c r="X36" s="1565"/>
      <c r="Y36" s="3409"/>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09"/>
      <c r="Q37" s="1570" t="str">
        <f t="shared" si="11"/>
        <v>内部装修状况</v>
      </c>
      <c r="R37" s="1571" t="s">
        <v>8</v>
      </c>
      <c r="S37" s="1572">
        <f t="shared" si="12"/>
        <v>100</v>
      </c>
      <c r="T37" s="1571" t="s">
        <v>8</v>
      </c>
      <c r="U37" s="1572">
        <f t="shared" si="13"/>
        <v>100</v>
      </c>
      <c r="V37" s="1571" t="s">
        <v>8</v>
      </c>
      <c r="W37" s="1572">
        <f t="shared" si="14"/>
        <v>100</v>
      </c>
      <c r="X37" s="1565"/>
      <c r="Y37" s="3409"/>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409"/>
      <c r="Q38" s="1603">
        <f t="shared" si="11"/>
        <v>111</v>
      </c>
      <c r="R38" s="1575" t="s">
        <v>8</v>
      </c>
      <c r="S38" s="1576">
        <f t="shared" si="12"/>
        <v>100</v>
      </c>
      <c r="T38" s="1575" t="s">
        <v>8</v>
      </c>
      <c r="U38" s="1576">
        <f t="shared" si="13"/>
        <v>100</v>
      </c>
      <c r="V38" s="1575" t="s">
        <v>8</v>
      </c>
      <c r="W38" s="1576">
        <f t="shared" si="14"/>
        <v>100</v>
      </c>
      <c r="X38" s="1577"/>
      <c r="Y38" s="3409"/>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409"/>
      <c r="Q39" s="1570">
        <f t="shared" si="11"/>
        <v>111</v>
      </c>
      <c r="R39" s="1571" t="s">
        <v>8</v>
      </c>
      <c r="S39" s="1572">
        <f t="shared" si="12"/>
        <v>100</v>
      </c>
      <c r="T39" s="1571" t="s">
        <v>8</v>
      </c>
      <c r="U39" s="1572">
        <f t="shared" si="13"/>
        <v>100</v>
      </c>
      <c r="V39" s="1571" t="s">
        <v>8</v>
      </c>
      <c r="W39" s="1572">
        <f t="shared" si="14"/>
        <v>100</v>
      </c>
      <c r="X39" s="1565"/>
      <c r="Y39" s="3409"/>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92"/>
      <c r="Q40" s="1570">
        <f t="shared" si="11"/>
        <v>111</v>
      </c>
      <c r="R40" s="1571" t="s">
        <v>8</v>
      </c>
      <c r="S40" s="1572">
        <f t="shared" si="12"/>
        <v>100</v>
      </c>
      <c r="T40" s="1571" t="s">
        <v>8</v>
      </c>
      <c r="U40" s="1572">
        <f t="shared" si="13"/>
        <v>100</v>
      </c>
      <c r="V40" s="1571" t="s">
        <v>8</v>
      </c>
      <c r="W40" s="1572">
        <f t="shared" si="14"/>
        <v>100</v>
      </c>
      <c r="X40" s="1565"/>
      <c r="Y40" s="3492"/>
      <c r="Z40" s="1573">
        <f t="shared" si="15"/>
        <v>111</v>
      </c>
      <c r="AA40" s="1574">
        <f t="shared" si="3"/>
        <v>1</v>
      </c>
      <c r="AB40" s="1574">
        <f t="shared" si="4"/>
        <v>1</v>
      </c>
      <c r="AC40" s="1574">
        <f t="shared" si="5"/>
        <v>1</v>
      </c>
    </row>
    <row r="41" spans="1:29" ht="15">
      <c r="A41" s="606" t="s">
        <v>736</v>
      </c>
      <c r="B41" s="885"/>
      <c r="C41" s="2626" t="s">
        <v>1</v>
      </c>
      <c r="D41" s="2627"/>
      <c r="E41" s="2628"/>
      <c r="F41" s="2629"/>
      <c r="G41" s="2630"/>
      <c r="H41" s="2631"/>
      <c r="I41" s="2628"/>
      <c r="J41" s="2631"/>
      <c r="K41" s="1609"/>
      <c r="L41" s="2143"/>
      <c r="M41" s="2144"/>
      <c r="N41" s="2133"/>
      <c r="O41" s="2144"/>
      <c r="P41" s="3404" t="str">
        <f>A41</f>
        <v>成交单价（元/平方米）</v>
      </c>
      <c r="Q41" s="3404"/>
      <c r="R41" s="3491">
        <f>E41</f>
        <v>0</v>
      </c>
      <c r="S41" s="3491"/>
      <c r="T41" s="3491">
        <f>G41</f>
        <v>0</v>
      </c>
      <c r="U41" s="3491"/>
      <c r="V41" s="3491">
        <f>I41</f>
        <v>0</v>
      </c>
      <c r="W41" s="3491"/>
      <c r="X41" s="1557"/>
      <c r="Y41" s="1579"/>
      <c r="Z41" s="1557"/>
      <c r="AA41" s="1557"/>
      <c r="AB41" s="1557"/>
      <c r="AC41" s="1557"/>
    </row>
    <row r="42" spans="1:29" ht="15.75" thickBot="1">
      <c r="A42" s="614" t="s">
        <v>2761</v>
      </c>
      <c r="B42" s="886"/>
      <c r="C42" s="2632" t="e">
        <f>R43</f>
        <v>#DIV/0!</v>
      </c>
      <c r="D42" s="2633"/>
      <c r="E42" s="2634" t="e">
        <f>R42</f>
        <v>#DIV/0!</v>
      </c>
      <c r="F42" s="2634"/>
      <c r="G42" s="2632" t="e">
        <f>T42</f>
        <v>#DIV/0!</v>
      </c>
      <c r="H42" s="2633"/>
      <c r="I42" s="2634" t="e">
        <f>V42</f>
        <v>#DIV/0!</v>
      </c>
      <c r="J42" s="2633"/>
      <c r="K42" s="1610"/>
      <c r="L42" s="2143"/>
      <c r="M42" s="2144"/>
      <c r="N42" s="2133"/>
      <c r="O42" s="2144"/>
      <c r="P42" s="3404" t="str">
        <f>A42</f>
        <v>比较价格（元/平方米）</v>
      </c>
      <c r="Q42" s="340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57"/>
      <c r="Y42" s="1557"/>
      <c r="Z42" s="1557"/>
      <c r="AA42" s="1557"/>
      <c r="AB42" s="1557"/>
      <c r="AC42" s="1557"/>
    </row>
    <row r="43" spans="1:29" ht="15.75" thickBot="1">
      <c r="A43" s="620" t="s">
        <v>2931</v>
      </c>
      <c r="B43" s="621"/>
      <c r="C43" s="2635" t="e">
        <f>R43</f>
        <v>#DIV/0!</v>
      </c>
      <c r="D43" s="2635"/>
      <c r="E43" s="2635"/>
      <c r="F43" s="2635"/>
      <c r="G43" s="2635"/>
      <c r="H43" s="2635"/>
      <c r="I43" s="2635"/>
      <c r="J43" s="2635"/>
      <c r="K43" s="1611"/>
      <c r="L43" s="2143"/>
      <c r="M43" s="2144"/>
      <c r="N43" s="2144"/>
      <c r="O43" s="2144"/>
      <c r="P43" s="3426" t="str">
        <f>A43</f>
        <v>估价对象XX用房的比较价格（楼面单价，元/平方米）</v>
      </c>
      <c r="Q43" s="3427"/>
      <c r="R43" s="3490" t="e">
        <f>IF(F1="售价",ROUND(AVERAGE(R42:V42),0),ROUND(AVERAGE(R42:V42),1))</f>
        <v>#DIV/0!</v>
      </c>
      <c r="S43" s="3490"/>
      <c r="T43" s="3490"/>
      <c r="U43" s="3490"/>
      <c r="V43" s="3490"/>
      <c r="W43" s="3490"/>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529</v>
      </c>
      <c r="B52" s="645"/>
      <c r="C52" s="2801" t="str">
        <f>YEAR(C7)&amp;"-"&amp;MONTH(C7)</f>
        <v>2018-8</v>
      </c>
      <c r="D52" s="2803">
        <f>EDATE(C52,-1)</f>
        <v>43282</v>
      </c>
      <c r="E52" s="2803">
        <f t="shared" ref="E52:O52" si="16">EDATE(D52,-1)</f>
        <v>43252</v>
      </c>
      <c r="F52" s="2803">
        <f t="shared" si="16"/>
        <v>43221</v>
      </c>
      <c r="G52" s="2803">
        <f t="shared" si="16"/>
        <v>43191</v>
      </c>
      <c r="H52" s="2803">
        <f t="shared" si="16"/>
        <v>43160</v>
      </c>
      <c r="I52" s="2803">
        <f t="shared" si="16"/>
        <v>43132</v>
      </c>
      <c r="J52" s="2803">
        <f t="shared" si="16"/>
        <v>43101</v>
      </c>
      <c r="K52" s="2803">
        <f t="shared" si="16"/>
        <v>43070</v>
      </c>
      <c r="L52" s="2803">
        <f t="shared" si="16"/>
        <v>43040</v>
      </c>
      <c r="M52" s="2803">
        <f t="shared" si="16"/>
        <v>43009</v>
      </c>
      <c r="N52" s="2803">
        <f t="shared" si="16"/>
        <v>42979</v>
      </c>
      <c r="O52" s="2803">
        <f t="shared" si="16"/>
        <v>42948</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596" t="s">
        <v>2559</v>
      </c>
      <c r="C76" s="2597" t="s">
        <v>2560</v>
      </c>
      <c r="D76" s="2597" t="s">
        <v>2561</v>
      </c>
      <c r="E76" s="2597" t="s">
        <v>2562</v>
      </c>
      <c r="F76" s="2597" t="s">
        <v>2563</v>
      </c>
      <c r="G76" s="2597" t="s">
        <v>2564</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41" sqref="E41"/>
    </sheetView>
  </sheetViews>
  <sheetFormatPr defaultRowHeight="14.25"/>
  <cols>
    <col min="1" max="1" width="10.5" style="1335" customWidth="1"/>
    <col min="2" max="2" width="15.75" style="1335" customWidth="1"/>
    <col min="3" max="3" width="18.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3194</v>
      </c>
      <c r="C1" s="503" t="s">
        <v>792</v>
      </c>
      <c r="D1" s="848" t="s">
        <v>35</v>
      </c>
      <c r="E1" s="505"/>
      <c r="F1" s="2806" t="s">
        <v>3071</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f>IF(B37="元/平方米",ROUND(B3*D3/10000,0),ROUND(F3*C39/10000,0))</f>
        <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f>IF(B37="元/平方米",C39,ROUND(B2*10000/D3,0))</f>
        <v>0</v>
      </c>
      <c r="C3" s="851" t="s">
        <v>796</v>
      </c>
      <c r="D3" s="850">
        <f>SUMIF('数据-汇总表'!$C19:$C33,D1,'数据-汇总表'!$E19:$E33)</f>
        <v>20000</v>
      </c>
      <c r="E3" s="1847" t="s">
        <v>2078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797</v>
      </c>
      <c r="B4" s="512"/>
      <c r="C4" s="3410" t="s">
        <v>798</v>
      </c>
      <c r="D4" s="3411"/>
      <c r="E4" s="3410" t="s">
        <v>799</v>
      </c>
      <c r="F4" s="3411"/>
      <c r="G4" s="3410" t="s">
        <v>800</v>
      </c>
      <c r="H4" s="3411"/>
      <c r="I4" s="3410" t="s">
        <v>801</v>
      </c>
      <c r="J4" s="3411"/>
      <c r="K4" s="513" t="s">
        <v>802</v>
      </c>
      <c r="L4" s="2132"/>
      <c r="M4" s="2133"/>
      <c r="N4" s="2133"/>
      <c r="O4" s="2133"/>
      <c r="P4" s="3412" t="s">
        <v>803</v>
      </c>
      <c r="Q4" s="3413"/>
      <c r="R4" s="3398" t="s">
        <v>799</v>
      </c>
      <c r="S4" s="3399"/>
      <c r="T4" s="3398" t="s">
        <v>800</v>
      </c>
      <c r="U4" s="3399"/>
      <c r="V4" s="3418" t="s">
        <v>801</v>
      </c>
      <c r="W4" s="3418"/>
      <c r="X4" s="1565"/>
      <c r="Y4" s="3398" t="s">
        <v>803</v>
      </c>
      <c r="Z4" s="3399"/>
      <c r="AA4" s="3393" t="s">
        <v>799</v>
      </c>
      <c r="AB4" s="3394" t="s">
        <v>800</v>
      </c>
      <c r="AC4" s="3393" t="s">
        <v>801</v>
      </c>
    </row>
    <row r="5" spans="1:29" ht="15">
      <c r="A5" s="514"/>
      <c r="B5" s="515"/>
      <c r="C5" s="3421" t="s">
        <v>2925</v>
      </c>
      <c r="D5" s="3422"/>
      <c r="E5" s="3487" t="s">
        <v>3230</v>
      </c>
      <c r="F5" s="3422"/>
      <c r="G5" s="3487" t="s">
        <v>3241</v>
      </c>
      <c r="H5" s="3422"/>
      <c r="I5" s="3487" t="s">
        <v>3263</v>
      </c>
      <c r="J5" s="3422"/>
      <c r="K5" s="513"/>
      <c r="L5" s="2132"/>
      <c r="M5" s="2133"/>
      <c r="N5" s="2133"/>
      <c r="O5" s="2133"/>
      <c r="P5" s="3414"/>
      <c r="Q5" s="3415"/>
      <c r="R5" s="3400"/>
      <c r="S5" s="3401"/>
      <c r="T5" s="3400"/>
      <c r="U5" s="3401"/>
      <c r="V5" s="3418"/>
      <c r="W5" s="3418"/>
      <c r="X5" s="1565"/>
      <c r="Y5" s="3400"/>
      <c r="Z5" s="3401"/>
      <c r="AA5" s="3394"/>
      <c r="AB5" s="3394"/>
      <c r="AC5" s="3394"/>
    </row>
    <row r="6" spans="1:29" ht="15.75" thickBot="1">
      <c r="A6" s="516"/>
      <c r="B6" s="517"/>
      <c r="C6" s="3419" t="s">
        <v>2929</v>
      </c>
      <c r="D6" s="3420"/>
      <c r="E6" s="3424" t="s">
        <v>2929</v>
      </c>
      <c r="F6" s="3425"/>
      <c r="G6" s="3419" t="s">
        <v>2929</v>
      </c>
      <c r="H6" s="3420"/>
      <c r="I6" s="3419" t="s">
        <v>2929</v>
      </c>
      <c r="J6" s="3420"/>
      <c r="K6" s="513" t="s">
        <v>528</v>
      </c>
      <c r="L6" s="2132"/>
      <c r="M6" s="2133"/>
      <c r="N6" s="2133"/>
      <c r="O6" s="2133"/>
      <c r="P6" s="3416"/>
      <c r="Q6" s="3417"/>
      <c r="R6" s="3400"/>
      <c r="S6" s="3401"/>
      <c r="T6" s="3402"/>
      <c r="U6" s="3403"/>
      <c r="V6" s="3418"/>
      <c r="W6" s="3418"/>
      <c r="X6" s="1565"/>
      <c r="Y6" s="3402"/>
      <c r="Z6" s="3403"/>
      <c r="AA6" s="3395"/>
      <c r="AB6" s="3395"/>
      <c r="AC6" s="3395"/>
    </row>
    <row r="7" spans="1:29" s="1218" customFormat="1" ht="15.75" thickBot="1">
      <c r="A7" s="2911"/>
      <c r="B7" s="2918" t="s">
        <v>529</v>
      </c>
      <c r="C7" s="518">
        <f>'数据-取费表'!B2</f>
        <v>43314</v>
      </c>
      <c r="D7" s="519">
        <v>100</v>
      </c>
      <c r="E7" s="520">
        <v>43252</v>
      </c>
      <c r="F7" s="521">
        <f>SUMIF(48:48,YEAR(E7)&amp;"-"&amp;MONTH(E7),49:49)</f>
        <v>99.5</v>
      </c>
      <c r="G7" s="520">
        <v>43282</v>
      </c>
      <c r="H7" s="519">
        <f>SUMIF(48:48,YEAR(G7)&amp;"-"&amp;MONTH(G7),49:49)</f>
        <v>100</v>
      </c>
      <c r="I7" s="520">
        <v>43282</v>
      </c>
      <c r="J7" s="519">
        <f>SUMIF(48:48,YEAR(I7)&amp;"-"&amp;MONTH(I7),49:49)</f>
        <v>100</v>
      </c>
      <c r="K7" s="523"/>
      <c r="L7" s="2134"/>
      <c r="M7" s="2135"/>
      <c r="N7" s="2135"/>
      <c r="O7" s="2135"/>
      <c r="P7" s="3396" t="s">
        <v>530</v>
      </c>
      <c r="Q7" s="3405"/>
      <c r="R7" s="1566" t="s">
        <v>8</v>
      </c>
      <c r="S7" s="1567">
        <f t="shared" ref="S7:S14" si="0">F7</f>
        <v>99.5</v>
      </c>
      <c r="T7" s="1566" t="s">
        <v>8</v>
      </c>
      <c r="U7" s="1567">
        <f t="shared" ref="U7:U14" si="1">H7</f>
        <v>100</v>
      </c>
      <c r="V7" s="1566" t="s">
        <v>8</v>
      </c>
      <c r="W7" s="1567">
        <f t="shared" ref="W7:W14" si="2">J7</f>
        <v>100</v>
      </c>
      <c r="X7" s="1568"/>
      <c r="Y7" s="3396" t="s">
        <v>530</v>
      </c>
      <c r="Z7" s="3397"/>
      <c r="AA7" s="1569">
        <f>D7/F7</f>
        <v>1.0050251256281406</v>
      </c>
      <c r="AB7" s="1569">
        <f>D7/H7</f>
        <v>1</v>
      </c>
      <c r="AC7" s="1569">
        <f>D7/J7</f>
        <v>1</v>
      </c>
    </row>
    <row r="8" spans="1:29" s="1218" customFormat="1" ht="15.75" thickBot="1">
      <c r="A8" s="2912"/>
      <c r="B8" s="2919"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4"/>
      <c r="M8" s="2135"/>
      <c r="N8" s="2135"/>
      <c r="O8" s="2135"/>
      <c r="P8" s="3396" t="s">
        <v>533</v>
      </c>
      <c r="Q8" s="3397"/>
      <c r="R8" s="1566" t="s">
        <v>8</v>
      </c>
      <c r="S8" s="1567">
        <f t="shared" si="0"/>
        <v>100</v>
      </c>
      <c r="T8" s="1566" t="s">
        <v>8</v>
      </c>
      <c r="U8" s="1567">
        <f t="shared" si="1"/>
        <v>100</v>
      </c>
      <c r="V8" s="1566" t="s">
        <v>8</v>
      </c>
      <c r="W8" s="1567">
        <f t="shared" si="2"/>
        <v>100</v>
      </c>
      <c r="X8" s="1568"/>
      <c r="Y8" s="3396" t="s">
        <v>533</v>
      </c>
      <c r="Z8" s="3397"/>
      <c r="AA8" s="1569">
        <f t="shared" ref="AA8:AA36" si="3">D8/F8</f>
        <v>1</v>
      </c>
      <c r="AB8" s="1569">
        <f t="shared" ref="AB8:AB36" si="4">D8/H8</f>
        <v>1</v>
      </c>
      <c r="AC8" s="1569">
        <f t="shared" ref="AC8:AC36" si="5">D8/J8</f>
        <v>1</v>
      </c>
    </row>
    <row r="9" spans="1:29" s="1218" customFormat="1" ht="15">
      <c r="A9" s="2913"/>
      <c r="B9" s="2920" t="s">
        <v>2757</v>
      </c>
      <c r="C9" s="3187" t="s">
        <v>3262</v>
      </c>
      <c r="D9" s="253">
        <v>100</v>
      </c>
      <c r="E9" s="859" t="s">
        <v>3194</v>
      </c>
      <c r="F9" s="253">
        <f>SUMIF(53:53,E9,54:54)-SUMIF(53:53,C9,54:54)+100</f>
        <v>100</v>
      </c>
      <c r="G9" s="859" t="s">
        <v>3194</v>
      </c>
      <c r="H9" s="253">
        <f>SUMIF(53:53,G9,54:54)-SUMIF(53:53,C9,54:54)+100</f>
        <v>100</v>
      </c>
      <c r="I9" s="859" t="s">
        <v>3194</v>
      </c>
      <c r="J9" s="253">
        <f>SUMIF(53:53,I9,54:54)-SUMIF(53:53,C9,54:54)+100</f>
        <v>100</v>
      </c>
      <c r="K9" s="523"/>
      <c r="L9" s="2134"/>
      <c r="M9" s="2135"/>
      <c r="N9" s="2135"/>
      <c r="O9" s="2136"/>
      <c r="P9" s="3404" t="s">
        <v>535</v>
      </c>
      <c r="Q9" s="1149" t="str">
        <f t="shared" ref="Q9:Q14" si="6">B9</f>
        <v>用途</v>
      </c>
      <c r="R9" s="1566" t="s">
        <v>8</v>
      </c>
      <c r="S9" s="1567">
        <f t="shared" si="0"/>
        <v>100</v>
      </c>
      <c r="T9" s="1566" t="s">
        <v>8</v>
      </c>
      <c r="U9" s="1567">
        <f t="shared" si="1"/>
        <v>100</v>
      </c>
      <c r="V9" s="1566" t="s">
        <v>8</v>
      </c>
      <c r="W9" s="1567">
        <f t="shared" si="2"/>
        <v>100</v>
      </c>
      <c r="X9" s="1568"/>
      <c r="Y9" s="3343" t="s">
        <v>536</v>
      </c>
      <c r="Z9" s="1148" t="str">
        <f t="shared" ref="Z9:Z14" si="7">Q9</f>
        <v>用途</v>
      </c>
      <c r="AA9" s="1569">
        <f t="shared" si="3"/>
        <v>1</v>
      </c>
      <c r="AB9" s="1569">
        <f t="shared" si="4"/>
        <v>1</v>
      </c>
      <c r="AC9" s="1569">
        <f t="shared" si="5"/>
        <v>1</v>
      </c>
    </row>
    <row r="10" spans="1:29" s="1336" customFormat="1" ht="27">
      <c r="A10" s="2914"/>
      <c r="B10" s="2919" t="s">
        <v>2758</v>
      </c>
      <c r="C10" s="860" t="s">
        <v>3229</v>
      </c>
      <c r="D10" s="254">
        <v>100</v>
      </c>
      <c r="E10" s="860" t="s">
        <v>3229</v>
      </c>
      <c r="F10" s="254">
        <f>SUMIF(55:55,E10,56:56)-SUMIF(55:55,C10,56:56)+100</f>
        <v>100</v>
      </c>
      <c r="G10" s="860" t="s">
        <v>3229</v>
      </c>
      <c r="H10" s="254">
        <f>SUMIF(55:55,G10,56:56)-SUMIF(55:55,C10,56:56)+100</f>
        <v>100</v>
      </c>
      <c r="I10" s="860" t="s">
        <v>3229</v>
      </c>
      <c r="J10" s="254">
        <f>SUMIF(55:55,I10,56:56)-SUMIF(55:55,C10,56:56)+100</f>
        <v>100</v>
      </c>
      <c r="K10" s="583">
        <v>1</v>
      </c>
      <c r="L10" s="2137"/>
      <c r="M10" s="2177"/>
      <c r="N10" s="2177"/>
      <c r="O10" s="2138"/>
      <c r="P10" s="3404"/>
      <c r="Q10" s="1149" t="str">
        <f t="shared" si="6"/>
        <v>土地使用年限（年）</v>
      </c>
      <c r="R10" s="1566" t="s">
        <v>8</v>
      </c>
      <c r="S10" s="1567">
        <f t="shared" si="0"/>
        <v>100</v>
      </c>
      <c r="T10" s="1566" t="s">
        <v>8</v>
      </c>
      <c r="U10" s="1567">
        <f t="shared" si="1"/>
        <v>100</v>
      </c>
      <c r="V10" s="1566" t="s">
        <v>8</v>
      </c>
      <c r="W10" s="1567">
        <f t="shared" si="2"/>
        <v>100</v>
      </c>
      <c r="X10" s="1568"/>
      <c r="Y10" s="3343"/>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404"/>
      <c r="Q11" s="1149">
        <f t="shared" si="6"/>
        <v>111</v>
      </c>
      <c r="R11" s="1566" t="s">
        <v>8</v>
      </c>
      <c r="S11" s="1567">
        <f t="shared" si="0"/>
        <v>100</v>
      </c>
      <c r="T11" s="1566" t="s">
        <v>8</v>
      </c>
      <c r="U11" s="1567">
        <f t="shared" si="1"/>
        <v>100</v>
      </c>
      <c r="V11" s="1566" t="s">
        <v>8</v>
      </c>
      <c r="W11" s="1567">
        <f t="shared" si="2"/>
        <v>100</v>
      </c>
      <c r="X11" s="1568"/>
      <c r="Y11" s="3343"/>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404"/>
      <c r="Q12" s="1149">
        <f t="shared" si="6"/>
        <v>111</v>
      </c>
      <c r="R12" s="1566" t="s">
        <v>8</v>
      </c>
      <c r="S12" s="1567">
        <f t="shared" si="0"/>
        <v>100</v>
      </c>
      <c r="T12" s="1566" t="s">
        <v>8</v>
      </c>
      <c r="U12" s="1567">
        <f t="shared" si="1"/>
        <v>100</v>
      </c>
      <c r="V12" s="1566" t="s">
        <v>8</v>
      </c>
      <c r="W12" s="1567">
        <f t="shared" si="2"/>
        <v>100</v>
      </c>
      <c r="X12" s="1568"/>
      <c r="Y12" s="3343"/>
      <c r="Z12" s="1148">
        <f t="shared" si="7"/>
        <v>111</v>
      </c>
      <c r="AA12" s="1569">
        <f>D12/F12</f>
        <v>1</v>
      </c>
      <c r="AB12" s="1569">
        <f>D12/H12</f>
        <v>1</v>
      </c>
      <c r="AC12" s="1569">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404"/>
      <c r="Q13" s="1149">
        <f t="shared" si="6"/>
        <v>111</v>
      </c>
      <c r="R13" s="1566" t="s">
        <v>8</v>
      </c>
      <c r="S13" s="1567">
        <f t="shared" si="0"/>
        <v>100</v>
      </c>
      <c r="T13" s="1566" t="s">
        <v>8</v>
      </c>
      <c r="U13" s="1567">
        <f t="shared" si="1"/>
        <v>100</v>
      </c>
      <c r="V13" s="1566" t="s">
        <v>8</v>
      </c>
      <c r="W13" s="1567">
        <f t="shared" si="2"/>
        <v>100</v>
      </c>
      <c r="X13" s="1568"/>
      <c r="Y13" s="3343"/>
      <c r="Z13" s="1148">
        <f t="shared" si="7"/>
        <v>111</v>
      </c>
      <c r="AA13" s="1569">
        <f t="shared" si="3"/>
        <v>1</v>
      </c>
      <c r="AB13" s="1569">
        <f t="shared" si="4"/>
        <v>1</v>
      </c>
      <c r="AC13" s="1569">
        <f t="shared" si="5"/>
        <v>1</v>
      </c>
    </row>
    <row r="14" spans="1:29" ht="85.5">
      <c r="A14" s="2909" t="s">
        <v>2755</v>
      </c>
      <c r="B14" s="546" t="s">
        <v>543</v>
      </c>
      <c r="C14" s="919" t="str">
        <f>IF(B1="工业",估价对象房地状况!G4,估价对象房地状况!C6)</f>
        <v>估价对象周边道路状况一般、公共交通通达情况一般、停车便捷程度较好，有846、821等公交线路，综合评价交通便捷度较差</v>
      </c>
      <c r="D14" s="548">
        <v>100</v>
      </c>
      <c r="E14" s="3184" t="s">
        <v>3231</v>
      </c>
      <c r="F14" s="550">
        <f>SUMIF(63:63,E15,64:64)-SUMIF(63:63,C15,64:64)+100</f>
        <v>100</v>
      </c>
      <c r="G14" s="3184" t="s">
        <v>3242</v>
      </c>
      <c r="H14" s="548">
        <f>SUMIF(63:63,G15,64:64)-SUMIF(63:63,C15,64:64)+100</f>
        <v>104</v>
      </c>
      <c r="I14" s="3184" t="s">
        <v>3244</v>
      </c>
      <c r="J14" s="548">
        <f>SUMIF(63:63,I15,64:64)-SUMIF(63:63,C15,64:64)+100</f>
        <v>100</v>
      </c>
      <c r="K14" s="896">
        <f>'比较法-住宅、综合'!K23</f>
        <v>2</v>
      </c>
      <c r="L14" s="2141"/>
      <c r="M14" s="2133"/>
      <c r="N14" s="2133"/>
      <c r="O14" s="2140"/>
      <c r="P14" s="3406" t="s">
        <v>540</v>
      </c>
      <c r="Q14" s="1570" t="str">
        <f t="shared" si="6"/>
        <v>交通便捷度</v>
      </c>
      <c r="R14" s="1571" t="s">
        <v>8</v>
      </c>
      <c r="S14" s="1572">
        <f t="shared" si="0"/>
        <v>100</v>
      </c>
      <c r="T14" s="1571" t="s">
        <v>8</v>
      </c>
      <c r="U14" s="1572">
        <f t="shared" si="1"/>
        <v>104</v>
      </c>
      <c r="V14" s="1571" t="s">
        <v>8</v>
      </c>
      <c r="W14" s="1572">
        <f t="shared" si="2"/>
        <v>100</v>
      </c>
      <c r="X14" s="1565"/>
      <c r="Y14" s="3406" t="s">
        <v>540</v>
      </c>
      <c r="Z14" s="1573" t="str">
        <f t="shared" si="7"/>
        <v>交通便捷度</v>
      </c>
      <c r="AA14" s="1574">
        <f t="shared" si="3"/>
        <v>1</v>
      </c>
      <c r="AB14" s="1574">
        <f t="shared" si="4"/>
        <v>0.96153846153846156</v>
      </c>
      <c r="AC14" s="1574">
        <f t="shared" si="5"/>
        <v>1</v>
      </c>
    </row>
    <row r="15" spans="1:29" ht="15">
      <c r="A15" s="514"/>
      <c r="B15" s="922"/>
      <c r="C15" s="575" t="s">
        <v>3033</v>
      </c>
      <c r="D15" s="554"/>
      <c r="E15" s="575" t="s">
        <v>3033</v>
      </c>
      <c r="F15" s="556"/>
      <c r="G15" s="575" t="s">
        <v>3011</v>
      </c>
      <c r="H15" s="558"/>
      <c r="I15" s="575" t="s">
        <v>3033</v>
      </c>
      <c r="J15" s="554"/>
      <c r="K15" s="897"/>
      <c r="L15" s="2141"/>
      <c r="M15" s="2133"/>
      <c r="N15" s="2133"/>
      <c r="O15" s="2140"/>
      <c r="P15" s="3407"/>
      <c r="Q15" s="1570"/>
      <c r="R15" s="1571"/>
      <c r="S15" s="1572"/>
      <c r="T15" s="1571"/>
      <c r="U15" s="1572"/>
      <c r="V15" s="1571"/>
      <c r="W15" s="1572"/>
      <c r="X15" s="1565"/>
      <c r="Y15" s="3407"/>
      <c r="Z15" s="1573"/>
      <c r="AA15" s="1574">
        <v>1</v>
      </c>
      <c r="AB15" s="1574">
        <v>1</v>
      </c>
      <c r="AC15" s="1574">
        <v>1</v>
      </c>
    </row>
    <row r="16" spans="1:29" ht="42.75">
      <c r="A16" s="514"/>
      <c r="B16" s="2602" t="s">
        <v>2547</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104</v>
      </c>
      <c r="I16" s="569"/>
      <c r="J16" s="564">
        <f>SUMIF(65:65,I17,66:66)-SUMIF(65:65,C17,66:66)+100</f>
        <v>102</v>
      </c>
      <c r="K16" s="896">
        <f>'比较法-住宅、综合'!K29</f>
        <v>2</v>
      </c>
      <c r="L16" s="2141"/>
      <c r="M16" s="2133"/>
      <c r="N16" s="2133"/>
      <c r="O16" s="2140"/>
      <c r="P16" s="3407"/>
      <c r="Q16" s="1570" t="str">
        <f>B16</f>
        <v>公共配套设施</v>
      </c>
      <c r="R16" s="1571" t="s">
        <v>8</v>
      </c>
      <c r="S16" s="1572">
        <f>F16</f>
        <v>100</v>
      </c>
      <c r="T16" s="1571" t="s">
        <v>8</v>
      </c>
      <c r="U16" s="1572">
        <f>H16</f>
        <v>104</v>
      </c>
      <c r="V16" s="1571" t="s">
        <v>8</v>
      </c>
      <c r="W16" s="1572">
        <f>J16</f>
        <v>102</v>
      </c>
      <c r="X16" s="1565"/>
      <c r="Y16" s="3407"/>
      <c r="Z16" s="1573" t="str">
        <f>Q16</f>
        <v>公共配套设施</v>
      </c>
      <c r="AA16" s="1574">
        <f t="shared" si="3"/>
        <v>1</v>
      </c>
      <c r="AB16" s="1574">
        <f t="shared" si="4"/>
        <v>0.96153846153846156</v>
      </c>
      <c r="AC16" s="1574">
        <f t="shared" si="5"/>
        <v>0.98039215686274506</v>
      </c>
    </row>
    <row r="17" spans="1:29" ht="15">
      <c r="A17" s="514"/>
      <c r="B17" s="565"/>
      <c r="C17" s="872" t="s">
        <v>3033</v>
      </c>
      <c r="D17" s="554"/>
      <c r="E17" s="575" t="s">
        <v>3033</v>
      </c>
      <c r="F17" s="556"/>
      <c r="G17" s="575" t="s">
        <v>3011</v>
      </c>
      <c r="H17" s="554"/>
      <c r="I17" s="575" t="s">
        <v>3013</v>
      </c>
      <c r="J17" s="554"/>
      <c r="K17" s="897"/>
      <c r="L17" s="2141"/>
      <c r="M17" s="2133"/>
      <c r="N17" s="2133"/>
      <c r="O17" s="2140"/>
      <c r="P17" s="3407"/>
      <c r="Q17" s="1570"/>
      <c r="R17" s="1571"/>
      <c r="S17" s="1572"/>
      <c r="T17" s="1571"/>
      <c r="U17" s="1572"/>
      <c r="V17" s="1571"/>
      <c r="W17" s="1572"/>
      <c r="X17" s="1565"/>
      <c r="Y17" s="3407"/>
      <c r="Z17" s="1573"/>
      <c r="AA17" s="1574">
        <v>1</v>
      </c>
      <c r="AB17" s="1574">
        <v>1</v>
      </c>
      <c r="AC17" s="1574">
        <v>1</v>
      </c>
    </row>
    <row r="18" spans="1:29" ht="15">
      <c r="A18" s="514"/>
      <c r="B18" s="2590" t="s">
        <v>2559</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41"/>
      <c r="M18" s="2133"/>
      <c r="N18" s="2133"/>
      <c r="O18" s="2140"/>
      <c r="P18" s="3407"/>
      <c r="Q18" s="2578" t="str">
        <f>B18</f>
        <v>基础设施水平</v>
      </c>
      <c r="R18" s="1571" t="s">
        <v>8</v>
      </c>
      <c r="S18" s="1572">
        <f>F18</f>
        <v>100</v>
      </c>
      <c r="T18" s="1571" t="s">
        <v>8</v>
      </c>
      <c r="U18" s="1572">
        <f>H18</f>
        <v>100</v>
      </c>
      <c r="V18" s="1571" t="s">
        <v>8</v>
      </c>
      <c r="W18" s="1572">
        <f>J18</f>
        <v>100</v>
      </c>
      <c r="X18" s="2580"/>
      <c r="Y18" s="3407"/>
      <c r="Z18" s="2579" t="str">
        <f>Q18</f>
        <v>基础设施水平</v>
      </c>
      <c r="AA18" s="1574">
        <f t="shared" ref="AA18" si="8">D18/F18</f>
        <v>1</v>
      </c>
      <c r="AB18" s="1574">
        <f t="shared" ref="AB18" si="9">D18/H18</f>
        <v>1</v>
      </c>
      <c r="AC18" s="1574">
        <f t="shared" ref="AC18" si="10">D18/J18</f>
        <v>1</v>
      </c>
    </row>
    <row r="19" spans="1:29" ht="15">
      <c r="A19" s="514"/>
      <c r="B19" s="577"/>
      <c r="C19" s="872" t="s">
        <v>3009</v>
      </c>
      <c r="D19" s="558"/>
      <c r="E19" s="872" t="s">
        <v>3009</v>
      </c>
      <c r="F19" s="556"/>
      <c r="G19" s="872" t="s">
        <v>3009</v>
      </c>
      <c r="H19" s="554"/>
      <c r="I19" s="872" t="s">
        <v>3009</v>
      </c>
      <c r="J19" s="554"/>
      <c r="K19" s="2601"/>
      <c r="L19" s="2141"/>
      <c r="M19" s="2133"/>
      <c r="N19" s="2133"/>
      <c r="O19" s="2140"/>
      <c r="P19" s="3407"/>
      <c r="Q19" s="2578"/>
      <c r="R19" s="1571"/>
      <c r="S19" s="1572"/>
      <c r="T19" s="1571"/>
      <c r="U19" s="1572"/>
      <c r="V19" s="1571"/>
      <c r="W19" s="1572"/>
      <c r="X19" s="2580"/>
      <c r="Y19" s="3407"/>
      <c r="Z19" s="2579"/>
      <c r="AA19" s="1574">
        <v>1</v>
      </c>
      <c r="AB19" s="1574">
        <v>1</v>
      </c>
      <c r="AC19" s="1574">
        <v>1</v>
      </c>
    </row>
    <row r="20" spans="1:29" ht="41.25">
      <c r="A20" s="514"/>
      <c r="B20" s="559" t="s">
        <v>804</v>
      </c>
      <c r="C20" s="871" t="str">
        <f>IF(B1="工业",估价对象房地状况!G7,估价对象房地状况!C9)</f>
        <v>综合评价环境状况较差</v>
      </c>
      <c r="D20" s="564">
        <v>100</v>
      </c>
      <c r="E20" s="561" t="s">
        <v>3240</v>
      </c>
      <c r="F20" s="562">
        <f>SUMIF(69:69,E21,70:70)-SUMIF(69:69,C21,70:70)+100</f>
        <v>102</v>
      </c>
      <c r="G20" s="3184" t="s">
        <v>3243</v>
      </c>
      <c r="H20" s="558">
        <f>SUMIF(69:69,G21,70:70)-SUMIF(69:69,C21,70:70)+100</f>
        <v>104</v>
      </c>
      <c r="I20" s="561" t="s">
        <v>3245</v>
      </c>
      <c r="J20" s="558">
        <f>SUMIF(69:69,I21,70:70)-SUMIF(69:69,C21,70:70)+100</f>
        <v>102</v>
      </c>
      <c r="K20" s="896">
        <f>'比较法-住宅、综合'!K27</f>
        <v>2</v>
      </c>
      <c r="L20" s="2141"/>
      <c r="M20" s="2133"/>
      <c r="N20" s="2133"/>
      <c r="O20" s="2140"/>
      <c r="P20" s="3407"/>
      <c r="Q20" s="1570" t="str">
        <f>B20</f>
        <v>自然及人文环境</v>
      </c>
      <c r="R20" s="1571" t="s">
        <v>8</v>
      </c>
      <c r="S20" s="1572">
        <f>F20</f>
        <v>102</v>
      </c>
      <c r="T20" s="1571" t="s">
        <v>8</v>
      </c>
      <c r="U20" s="1572">
        <f>H20</f>
        <v>104</v>
      </c>
      <c r="V20" s="1571" t="s">
        <v>8</v>
      </c>
      <c r="W20" s="1572">
        <f>J20</f>
        <v>102</v>
      </c>
      <c r="X20" s="1565"/>
      <c r="Y20" s="3407"/>
      <c r="Z20" s="1573" t="str">
        <f>Q20</f>
        <v>自然及人文环境</v>
      </c>
      <c r="AA20" s="1574">
        <f t="shared" si="3"/>
        <v>0.98039215686274506</v>
      </c>
      <c r="AB20" s="1574">
        <f t="shared" si="4"/>
        <v>0.96153846153846156</v>
      </c>
      <c r="AC20" s="1574">
        <f t="shared" si="5"/>
        <v>0.98039215686274506</v>
      </c>
    </row>
    <row r="21" spans="1:29" ht="15">
      <c r="A21" s="514"/>
      <c r="B21" s="565"/>
      <c r="C21" s="575" t="s">
        <v>3033</v>
      </c>
      <c r="D21" s="554"/>
      <c r="E21" s="575" t="s">
        <v>3013</v>
      </c>
      <c r="F21" s="556"/>
      <c r="G21" s="575" t="s">
        <v>3011</v>
      </c>
      <c r="H21" s="554"/>
      <c r="I21" s="575" t="s">
        <v>3013</v>
      </c>
      <c r="J21" s="554"/>
      <c r="K21" s="897"/>
      <c r="L21" s="2141"/>
      <c r="M21" s="2133"/>
      <c r="N21" s="2133"/>
      <c r="O21" s="2140"/>
      <c r="P21" s="3407"/>
      <c r="Q21" s="1570"/>
      <c r="R21" s="1571"/>
      <c r="S21" s="1572"/>
      <c r="T21" s="1571"/>
      <c r="U21" s="1572"/>
      <c r="V21" s="1571"/>
      <c r="W21" s="1572"/>
      <c r="X21" s="1565"/>
      <c r="Y21" s="3407"/>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07"/>
      <c r="Q22" s="1570" t="str">
        <f>B22</f>
        <v>楼层</v>
      </c>
      <c r="R22" s="1571" t="s">
        <v>8</v>
      </c>
      <c r="S22" s="1572">
        <f>F22</f>
        <v>100</v>
      </c>
      <c r="T22" s="1571" t="s">
        <v>8</v>
      </c>
      <c r="U22" s="1572">
        <f>H22</f>
        <v>100</v>
      </c>
      <c r="V22" s="1571" t="s">
        <v>8</v>
      </c>
      <c r="W22" s="1572">
        <f>J22</f>
        <v>100</v>
      </c>
      <c r="X22" s="1565"/>
      <c r="Y22" s="3407"/>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07"/>
      <c r="Q23" s="1570">
        <f>B23</f>
        <v>111</v>
      </c>
      <c r="R23" s="1571" t="s">
        <v>8</v>
      </c>
      <c r="S23" s="1572">
        <f>F23</f>
        <v>100</v>
      </c>
      <c r="T23" s="1571" t="s">
        <v>8</v>
      </c>
      <c r="U23" s="1572">
        <f>H23</f>
        <v>100</v>
      </c>
      <c r="V23" s="1571" t="s">
        <v>8</v>
      </c>
      <c r="W23" s="1572">
        <f>J23</f>
        <v>100</v>
      </c>
      <c r="X23" s="1565"/>
      <c r="Y23" s="3407"/>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07"/>
      <c r="Q24" s="1570">
        <f t="shared" ref="Q24:Q36" si="11">B24</f>
        <v>111</v>
      </c>
      <c r="R24" s="1571" t="s">
        <v>8</v>
      </c>
      <c r="S24" s="1572">
        <f>F24</f>
        <v>100</v>
      </c>
      <c r="T24" s="1571" t="s">
        <v>8</v>
      </c>
      <c r="U24" s="1572">
        <f>H24</f>
        <v>100</v>
      </c>
      <c r="V24" s="1571" t="s">
        <v>8</v>
      </c>
      <c r="W24" s="1572">
        <f>J24</f>
        <v>100</v>
      </c>
      <c r="X24" s="1565"/>
      <c r="Y24" s="3407"/>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407"/>
      <c r="Q25" s="1149">
        <f t="shared" si="11"/>
        <v>111</v>
      </c>
      <c r="R25" s="1566" t="s">
        <v>8</v>
      </c>
      <c r="S25" s="1567">
        <f>F25</f>
        <v>100</v>
      </c>
      <c r="T25" s="1566" t="s">
        <v>8</v>
      </c>
      <c r="U25" s="1567">
        <f>H25</f>
        <v>100</v>
      </c>
      <c r="V25" s="1566" t="s">
        <v>8</v>
      </c>
      <c r="W25" s="1567">
        <f>J25</f>
        <v>100</v>
      </c>
      <c r="X25" s="1568"/>
      <c r="Y25" s="3407"/>
      <c r="Z25" s="1148">
        <f>Q25</f>
        <v>111</v>
      </c>
      <c r="AA25" s="1574">
        <f>D25/F25</f>
        <v>1</v>
      </c>
      <c r="AB25" s="1574">
        <f>D25/H25</f>
        <v>1</v>
      </c>
      <c r="AC25" s="1574">
        <f>D25/J25</f>
        <v>1</v>
      </c>
    </row>
    <row r="26" spans="1:29" ht="15">
      <c r="A26" s="2906" t="s">
        <v>2756</v>
      </c>
      <c r="B26" s="169" t="s">
        <v>806</v>
      </c>
      <c r="C26" s="926" t="str">
        <f>B1</f>
        <v>车库</v>
      </c>
      <c r="D26" s="554">
        <v>100</v>
      </c>
      <c r="E26" s="575" t="s">
        <v>3194</v>
      </c>
      <c r="F26" s="556">
        <f>SUMIF(79:79,E26,80:80)-SUMIF(79:79,C26,80:80)+100</f>
        <v>100</v>
      </c>
      <c r="G26" s="575" t="s">
        <v>3194</v>
      </c>
      <c r="H26" s="554">
        <f>SUMIF(79:79,G26,80:80)-SUMIF(79:79,C26,80:80)+100</f>
        <v>100</v>
      </c>
      <c r="I26" s="575" t="s">
        <v>3194</v>
      </c>
      <c r="J26" s="554">
        <f>SUMIF(79:79,I26,80:80)-SUMIF(79:79,C26,80:80)+100</f>
        <v>100</v>
      </c>
      <c r="K26" s="583"/>
      <c r="L26" s="2141"/>
      <c r="M26" s="2133"/>
      <c r="N26" s="2133"/>
      <c r="O26" s="2140"/>
      <c r="P26" s="3408"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9"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409"/>
      <c r="Q27" s="1603" t="str">
        <f t="shared" si="11"/>
        <v>项目停车位配比</v>
      </c>
      <c r="R27" s="1575" t="s">
        <v>8</v>
      </c>
      <c r="S27" s="1576">
        <f t="shared" si="12"/>
        <v>100</v>
      </c>
      <c r="T27" s="1575" t="s">
        <v>8</v>
      </c>
      <c r="U27" s="1576">
        <f t="shared" si="13"/>
        <v>100</v>
      </c>
      <c r="V27" s="1575" t="s">
        <v>8</v>
      </c>
      <c r="W27" s="1576">
        <f t="shared" si="14"/>
        <v>100</v>
      </c>
      <c r="X27" s="1577"/>
      <c r="Y27" s="3409"/>
      <c r="Z27" s="1578" t="str">
        <f t="shared" si="15"/>
        <v>项目停车位配比</v>
      </c>
      <c r="AA27" s="1574">
        <f t="shared" si="3"/>
        <v>1</v>
      </c>
      <c r="AB27" s="1574">
        <f t="shared" si="4"/>
        <v>1</v>
      </c>
      <c r="AC27" s="1574">
        <f t="shared" si="5"/>
        <v>1</v>
      </c>
    </row>
    <row r="28" spans="1:29" ht="15">
      <c r="A28" s="929"/>
      <c r="B28" s="581" t="s">
        <v>808</v>
      </c>
      <c r="C28" s="573" t="s">
        <v>3264</v>
      </c>
      <c r="D28" s="539">
        <v>100</v>
      </c>
      <c r="E28" s="573" t="s">
        <v>3264</v>
      </c>
      <c r="F28" s="574">
        <f>SUMIF(83:83,E28,84:84)-SUMIF(83:83,C28,84:84)+100</f>
        <v>100</v>
      </c>
      <c r="G28" s="573" t="s">
        <v>3264</v>
      </c>
      <c r="H28" s="539">
        <f>SUMIF(83:83,G28,84:84)-SUMIF(83:83,C28,84:84)+100</f>
        <v>100</v>
      </c>
      <c r="I28" s="573" t="s">
        <v>3264</v>
      </c>
      <c r="J28" s="539">
        <f>SUMIF(83:83,I28,84:84)-SUMIF(83:83,C28,84:84)+100</f>
        <v>100</v>
      </c>
      <c r="K28" s="583">
        <v>3</v>
      </c>
      <c r="L28" s="2141"/>
      <c r="M28" s="2133"/>
      <c r="N28" s="2133"/>
      <c r="O28" s="2140"/>
      <c r="P28" s="3409"/>
      <c r="Q28" s="1570" t="str">
        <f t="shared" si="11"/>
        <v>公共部分装修</v>
      </c>
      <c r="R28" s="1571" t="s">
        <v>8</v>
      </c>
      <c r="S28" s="1572">
        <f t="shared" si="12"/>
        <v>100</v>
      </c>
      <c r="T28" s="1571" t="s">
        <v>8</v>
      </c>
      <c r="U28" s="1572">
        <f t="shared" si="13"/>
        <v>100</v>
      </c>
      <c r="V28" s="1571" t="s">
        <v>8</v>
      </c>
      <c r="W28" s="1572">
        <f t="shared" si="14"/>
        <v>100</v>
      </c>
      <c r="X28" s="1565"/>
      <c r="Y28" s="3409"/>
      <c r="Z28" s="1573" t="str">
        <f t="shared" si="15"/>
        <v>公共部分装修</v>
      </c>
      <c r="AA28" s="1574">
        <f t="shared" si="3"/>
        <v>1</v>
      </c>
      <c r="AB28" s="1574">
        <f t="shared" si="4"/>
        <v>1</v>
      </c>
      <c r="AC28" s="1574">
        <f t="shared" si="5"/>
        <v>1</v>
      </c>
    </row>
    <row r="29" spans="1:29" ht="15">
      <c r="A29" s="929"/>
      <c r="B29" s="581" t="s">
        <v>809</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1</v>
      </c>
      <c r="L29" s="2141"/>
      <c r="M29" s="2133"/>
      <c r="N29" s="2133"/>
      <c r="O29" s="2140"/>
      <c r="P29" s="3409"/>
      <c r="Q29" s="1570" t="str">
        <f t="shared" si="11"/>
        <v>成新率</v>
      </c>
      <c r="R29" s="1571" t="s">
        <v>8</v>
      </c>
      <c r="S29" s="1572">
        <f t="shared" si="12"/>
        <v>100</v>
      </c>
      <c r="T29" s="1571" t="s">
        <v>8</v>
      </c>
      <c r="U29" s="1572">
        <f t="shared" si="13"/>
        <v>100</v>
      </c>
      <c r="V29" s="1571" t="s">
        <v>8</v>
      </c>
      <c r="W29" s="1572">
        <f t="shared" si="14"/>
        <v>100</v>
      </c>
      <c r="X29" s="1565"/>
      <c r="Y29" s="3409"/>
      <c r="Z29" s="1573" t="str">
        <f t="shared" si="15"/>
        <v>成新率</v>
      </c>
      <c r="AA29" s="1574">
        <f t="shared" si="3"/>
        <v>1</v>
      </c>
      <c r="AB29" s="1574">
        <f t="shared" si="4"/>
        <v>1</v>
      </c>
      <c r="AC29" s="1574">
        <f t="shared" si="5"/>
        <v>1</v>
      </c>
    </row>
    <row r="30" spans="1:29" ht="15">
      <c r="A30" s="929"/>
      <c r="B30" s="581" t="s">
        <v>810</v>
      </c>
      <c r="C30" s="930" t="s">
        <v>3059</v>
      </c>
      <c r="D30" s="539">
        <v>100</v>
      </c>
      <c r="E30" s="930" t="s">
        <v>3059</v>
      </c>
      <c r="F30" s="574">
        <f>SUMIF(88:88,E30,89:89)-SUMIF(88:88,C30,89:89)+100</f>
        <v>100</v>
      </c>
      <c r="G30" s="930" t="s">
        <v>3059</v>
      </c>
      <c r="H30" s="539">
        <f>SUMIF(88:88,E30,89:89)-SUMIF(88:88,C30,89:89)+100</f>
        <v>100</v>
      </c>
      <c r="I30" s="930" t="s">
        <v>3059</v>
      </c>
      <c r="J30" s="539">
        <f>SUMIF(88:88,E30,89:89)-SUMIF(88:88,C30,89:89)+100</f>
        <v>100</v>
      </c>
      <c r="K30" s="583">
        <v>2</v>
      </c>
      <c r="L30" s="2141"/>
      <c r="M30" s="2133"/>
      <c r="N30" s="2133"/>
      <c r="O30" s="2140"/>
      <c r="P30" s="3409"/>
      <c r="Q30" s="1570" t="str">
        <f t="shared" si="11"/>
        <v>物业等级</v>
      </c>
      <c r="R30" s="1571" t="s">
        <v>8</v>
      </c>
      <c r="S30" s="1572">
        <f t="shared" si="12"/>
        <v>100</v>
      </c>
      <c r="T30" s="1571" t="s">
        <v>8</v>
      </c>
      <c r="U30" s="1572">
        <f t="shared" si="13"/>
        <v>100</v>
      </c>
      <c r="V30" s="1571" t="s">
        <v>8</v>
      </c>
      <c r="W30" s="1572">
        <f t="shared" si="14"/>
        <v>100</v>
      </c>
      <c r="X30" s="1565"/>
      <c r="Y30" s="3409"/>
      <c r="Z30" s="1573" t="str">
        <f t="shared" si="15"/>
        <v>物业等级</v>
      </c>
      <c r="AA30" s="1574">
        <f t="shared" si="3"/>
        <v>1</v>
      </c>
      <c r="AB30" s="1574">
        <f t="shared" si="4"/>
        <v>1</v>
      </c>
      <c r="AC30" s="1574">
        <f t="shared" si="5"/>
        <v>1</v>
      </c>
    </row>
    <row r="31" spans="1:29" s="1218" customFormat="1" ht="15">
      <c r="A31" s="931"/>
      <c r="B31" s="581" t="s">
        <v>811</v>
      </c>
      <c r="C31" s="878">
        <v>30</v>
      </c>
      <c r="D31" s="254">
        <v>100</v>
      </c>
      <c r="E31" s="878">
        <v>32</v>
      </c>
      <c r="F31" s="574">
        <f>LOOKUP(E31,91:91,92:92)-LOOKUP(C31,91:91,92:92)+100</f>
        <v>100</v>
      </c>
      <c r="G31" s="878">
        <v>27.8</v>
      </c>
      <c r="H31" s="539">
        <f>LOOKUP(G31,91:91,92:92)-LOOKUP(C31,91:91,92:92)+100</f>
        <v>99</v>
      </c>
      <c r="I31" s="878">
        <v>16</v>
      </c>
      <c r="J31" s="539">
        <f>LOOKUP(I31,91:91,92:92)-LOOKUP(C31,91:91,92:92)+100</f>
        <v>98</v>
      </c>
      <c r="K31" s="583">
        <v>1</v>
      </c>
      <c r="L31" s="2134"/>
      <c r="M31" s="2135"/>
      <c r="N31" s="2135"/>
      <c r="O31" s="2136"/>
      <c r="P31" s="3409"/>
      <c r="Q31" s="1149" t="str">
        <f t="shared" si="11"/>
        <v>停车位面积</v>
      </c>
      <c r="R31" s="1566" t="s">
        <v>8</v>
      </c>
      <c r="S31" s="1567">
        <f t="shared" si="12"/>
        <v>100</v>
      </c>
      <c r="T31" s="1566" t="s">
        <v>8</v>
      </c>
      <c r="U31" s="1567">
        <f t="shared" si="13"/>
        <v>99</v>
      </c>
      <c r="V31" s="1566" t="s">
        <v>8</v>
      </c>
      <c r="W31" s="1567">
        <f t="shared" si="14"/>
        <v>98</v>
      </c>
      <c r="X31" s="1568"/>
      <c r="Y31" s="3409"/>
      <c r="Z31" s="1148" t="str">
        <f t="shared" si="15"/>
        <v>停车位面积</v>
      </c>
      <c r="AA31" s="1569">
        <f t="shared" si="3"/>
        <v>1</v>
      </c>
      <c r="AB31" s="1569">
        <f t="shared" si="4"/>
        <v>1.0101010101010102</v>
      </c>
      <c r="AC31" s="1569">
        <f t="shared" si="5"/>
        <v>1.0204081632653061</v>
      </c>
    </row>
    <row r="32" spans="1:29" ht="15">
      <c r="A32" s="929"/>
      <c r="B32" s="581" t="s">
        <v>812</v>
      </c>
      <c r="C32" s="573" t="s">
        <v>3237</v>
      </c>
      <c r="D32" s="539">
        <v>100</v>
      </c>
      <c r="E32" s="573" t="s">
        <v>3237</v>
      </c>
      <c r="F32" s="574">
        <f>SUMIF(93:93,E32,94:94)-SUMIF(93:93,C32,94:94)+100</f>
        <v>100</v>
      </c>
      <c r="G32" s="573" t="s">
        <v>3237</v>
      </c>
      <c r="H32" s="539">
        <f>SUMIF(93:93,G32,94:94)-SUMIF(93:93,C32,94:94)+100</f>
        <v>100</v>
      </c>
      <c r="I32" s="573" t="s">
        <v>3237</v>
      </c>
      <c r="J32" s="539">
        <f>SUMIF(93:93,I32,94:94)-SUMIF(93:93,C32,94:94)+100</f>
        <v>100</v>
      </c>
      <c r="K32" s="583">
        <v>2</v>
      </c>
      <c r="L32" s="2141"/>
      <c r="M32" s="2133"/>
      <c r="N32" s="2133"/>
      <c r="O32" s="2140"/>
      <c r="P32" s="3409" t="s">
        <v>550</v>
      </c>
      <c r="Q32" s="1570" t="str">
        <f t="shared" si="11"/>
        <v>车位类型</v>
      </c>
      <c r="R32" s="1571" t="s">
        <v>8</v>
      </c>
      <c r="S32" s="1572">
        <f t="shared" si="12"/>
        <v>100</v>
      </c>
      <c r="T32" s="1571" t="s">
        <v>8</v>
      </c>
      <c r="U32" s="1572">
        <f t="shared" si="13"/>
        <v>100</v>
      </c>
      <c r="V32" s="1571" t="s">
        <v>8</v>
      </c>
      <c r="W32" s="1572">
        <f t="shared" si="14"/>
        <v>100</v>
      </c>
      <c r="X32" s="1565"/>
      <c r="Y32" s="3409" t="s">
        <v>550</v>
      </c>
      <c r="Z32" s="1573" t="str">
        <f t="shared" si="15"/>
        <v>车位类型</v>
      </c>
      <c r="AA32" s="1574">
        <f t="shared" si="3"/>
        <v>1</v>
      </c>
      <c r="AB32" s="1574">
        <f t="shared" si="4"/>
        <v>1</v>
      </c>
      <c r="AC32" s="1574">
        <f t="shared" si="5"/>
        <v>1</v>
      </c>
    </row>
    <row r="33" spans="1:29" ht="15">
      <c r="A33" s="929"/>
      <c r="B33" s="581" t="s">
        <v>813</v>
      </c>
      <c r="C33" s="573" t="s">
        <v>2986</v>
      </c>
      <c r="D33" s="539">
        <v>100</v>
      </c>
      <c r="E33" s="573" t="s">
        <v>2986</v>
      </c>
      <c r="F33" s="574">
        <f>SUMIF(95:95,E33,96:96)-SUMIF(95:95,C33,96:96)+100</f>
        <v>100</v>
      </c>
      <c r="G33" s="573" t="s">
        <v>2986</v>
      </c>
      <c r="H33" s="539">
        <f>SUMIF(95:95,G33,96:96)-SUMIF(95:95,C33,96:96)+100</f>
        <v>100</v>
      </c>
      <c r="I33" s="573" t="s">
        <v>2986</v>
      </c>
      <c r="J33" s="539">
        <f>SUMIF(95:95,I33,96:96)-SUMIF(95:95,C33,96:96)+100</f>
        <v>100</v>
      </c>
      <c r="K33" s="583">
        <v>3</v>
      </c>
      <c r="L33" s="2141"/>
      <c r="M33" s="2133"/>
      <c r="N33" s="2133"/>
      <c r="O33" s="2140"/>
      <c r="P33" s="3409"/>
      <c r="Q33" s="1570" t="str">
        <f t="shared" si="11"/>
        <v>是否直接入户</v>
      </c>
      <c r="R33" s="1571" t="s">
        <v>8</v>
      </c>
      <c r="S33" s="1572">
        <f t="shared" si="12"/>
        <v>100</v>
      </c>
      <c r="T33" s="1571" t="s">
        <v>8</v>
      </c>
      <c r="U33" s="1572">
        <f t="shared" si="13"/>
        <v>100</v>
      </c>
      <c r="V33" s="1571" t="s">
        <v>8</v>
      </c>
      <c r="W33" s="1572">
        <f t="shared" si="14"/>
        <v>100</v>
      </c>
      <c r="X33" s="1565"/>
      <c r="Y33" s="3409"/>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09"/>
      <c r="Q34" s="1570">
        <f t="shared" si="11"/>
        <v>111</v>
      </c>
      <c r="R34" s="1571" t="s">
        <v>8</v>
      </c>
      <c r="S34" s="1572">
        <f t="shared" si="12"/>
        <v>100</v>
      </c>
      <c r="T34" s="1571" t="s">
        <v>8</v>
      </c>
      <c r="U34" s="1572">
        <f t="shared" si="13"/>
        <v>100</v>
      </c>
      <c r="V34" s="1571" t="s">
        <v>8</v>
      </c>
      <c r="W34" s="1572">
        <f t="shared" si="14"/>
        <v>100</v>
      </c>
      <c r="X34" s="1565"/>
      <c r="Y34" s="3409"/>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09"/>
      <c r="Q35" s="1603">
        <f t="shared" si="11"/>
        <v>111</v>
      </c>
      <c r="R35" s="1575" t="s">
        <v>8</v>
      </c>
      <c r="S35" s="1576">
        <f t="shared" si="12"/>
        <v>100</v>
      </c>
      <c r="T35" s="1575" t="s">
        <v>8</v>
      </c>
      <c r="U35" s="1576">
        <f t="shared" si="13"/>
        <v>100</v>
      </c>
      <c r="V35" s="1575" t="s">
        <v>8</v>
      </c>
      <c r="W35" s="1576">
        <f t="shared" si="14"/>
        <v>100</v>
      </c>
      <c r="X35" s="1577"/>
      <c r="Y35" s="3409"/>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09"/>
      <c r="Q36" s="1570">
        <f t="shared" si="11"/>
        <v>111</v>
      </c>
      <c r="R36" s="1571" t="s">
        <v>8</v>
      </c>
      <c r="S36" s="1572">
        <f t="shared" si="12"/>
        <v>100</v>
      </c>
      <c r="T36" s="1571" t="s">
        <v>8</v>
      </c>
      <c r="U36" s="1572">
        <f t="shared" si="13"/>
        <v>100</v>
      </c>
      <c r="V36" s="1571" t="s">
        <v>8</v>
      </c>
      <c r="W36" s="1572">
        <f t="shared" si="14"/>
        <v>100</v>
      </c>
      <c r="X36" s="1565"/>
      <c r="Y36" s="3409"/>
      <c r="Z36" s="1573">
        <f t="shared" si="15"/>
        <v>111</v>
      </c>
      <c r="AA36" s="1574">
        <f t="shared" si="3"/>
        <v>1</v>
      </c>
      <c r="AB36" s="1574">
        <f t="shared" si="4"/>
        <v>1</v>
      </c>
      <c r="AC36" s="1574">
        <f t="shared" si="5"/>
        <v>1</v>
      </c>
    </row>
    <row r="37" spans="1:29" ht="15">
      <c r="A37" s="1845" t="s">
        <v>2079</v>
      </c>
      <c r="B37" s="1846" t="s">
        <v>3246</v>
      </c>
      <c r="C37" s="2626" t="s">
        <v>1</v>
      </c>
      <c r="D37" s="2627"/>
      <c r="E37" s="2628">
        <v>260000</v>
      </c>
      <c r="F37" s="2629"/>
      <c r="G37" s="2630">
        <v>265900</v>
      </c>
      <c r="H37" s="2631"/>
      <c r="I37" s="2628">
        <v>247700</v>
      </c>
      <c r="J37" s="2631"/>
      <c r="K37" s="1609"/>
      <c r="L37" s="2143"/>
      <c r="M37" s="2144"/>
      <c r="N37" s="2133"/>
      <c r="O37" s="2144"/>
      <c r="P37" s="3404" t="str">
        <f>A37</f>
        <v>成交单价</v>
      </c>
      <c r="Q37" s="3404"/>
      <c r="R37" s="3491">
        <f>E37</f>
        <v>260000</v>
      </c>
      <c r="S37" s="3491"/>
      <c r="T37" s="3491">
        <f>G37</f>
        <v>265900</v>
      </c>
      <c r="U37" s="3491"/>
      <c r="V37" s="3491">
        <f>I37</f>
        <v>247700</v>
      </c>
      <c r="W37" s="3491"/>
      <c r="X37" s="1557"/>
      <c r="Y37" s="1579"/>
      <c r="Z37" s="1557"/>
      <c r="AA37" s="1557"/>
      <c r="AB37" s="1557"/>
      <c r="AC37" s="1557"/>
    </row>
    <row r="38" spans="1:29" ht="15.75" thickBot="1">
      <c r="A38" s="614" t="s">
        <v>2761</v>
      </c>
      <c r="B38" s="886"/>
      <c r="C38" s="2632">
        <f>R39</f>
        <v>245965</v>
      </c>
      <c r="D38" s="2633"/>
      <c r="E38" s="2634">
        <f>R38</f>
        <v>256183</v>
      </c>
      <c r="F38" s="2634"/>
      <c r="G38" s="2632">
        <f>T38</f>
        <v>238772</v>
      </c>
      <c r="H38" s="2633"/>
      <c r="I38" s="2634">
        <f>V38</f>
        <v>242940</v>
      </c>
      <c r="J38" s="2633"/>
      <c r="K38" s="1610"/>
      <c r="L38" s="2143"/>
      <c r="M38" s="2144"/>
      <c r="N38" s="2144"/>
      <c r="O38" s="2144"/>
      <c r="P38" s="3404" t="str">
        <f>A38</f>
        <v>比较价格（元/平方米）</v>
      </c>
      <c r="Q38" s="3404"/>
      <c r="R38" s="3491">
        <f>IF(F1="售价",ROUND(PRODUCT(R37,AA7:AA36),0),ROUND(PRODUCT(R37,AA7:AA36),1))</f>
        <v>256183</v>
      </c>
      <c r="S38" s="3491"/>
      <c r="T38" s="3491">
        <f>IF(F1="售价",ROUND(PRODUCT(T37,AB7:AB36),0),ROUND(PRODUCT(T37,AB7:AB36),1))</f>
        <v>238772</v>
      </c>
      <c r="U38" s="3491"/>
      <c r="V38" s="3491">
        <f>IF(F1="售价",ROUND(PRODUCT(V37,AC7:AC36),0),ROUND(PRODUCT(V37,AC7:AC36),1))</f>
        <v>242940</v>
      </c>
      <c r="W38" s="3491"/>
      <c r="X38" s="1557"/>
      <c r="Y38" s="1557"/>
      <c r="Z38" s="1557"/>
      <c r="AA38" s="1557"/>
      <c r="AB38" s="1557"/>
      <c r="AC38" s="1557"/>
    </row>
    <row r="39" spans="1:29" ht="15.75" thickBot="1">
      <c r="A39" s="620" t="s">
        <v>2931</v>
      </c>
      <c r="B39" s="621"/>
      <c r="C39" s="2635">
        <f>R39</f>
        <v>245965</v>
      </c>
      <c r="D39" s="2635"/>
      <c r="E39" s="2635"/>
      <c r="F39" s="2635"/>
      <c r="G39" s="2635"/>
      <c r="H39" s="2635"/>
      <c r="I39" s="2635"/>
      <c r="J39" s="2635"/>
      <c r="K39" s="1611"/>
      <c r="L39" s="2143"/>
      <c r="M39" s="2144"/>
      <c r="N39" s="2144"/>
      <c r="O39" s="2144"/>
      <c r="P39" s="3426" t="str">
        <f>A39</f>
        <v>估价对象XX用房的比较价格（楼面单价，元/平方米）</v>
      </c>
      <c r="Q39" s="3427"/>
      <c r="R39" s="3490">
        <f>IF(F1="售价",ROUND(AVERAGE(R38:V38),0),ROUND(AVERAGE(R38:V38),1))</f>
        <v>245965</v>
      </c>
      <c r="S39" s="3490"/>
      <c r="T39" s="3490"/>
      <c r="U39" s="3490"/>
      <c r="V39" s="3490"/>
      <c r="W39" s="3490"/>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f>IF(E37&lt;E38,E38/E37-1,E37/E38-1)</f>
        <v>1.4899505431664073E-2</v>
      </c>
      <c r="F42" s="626" t="str">
        <f>IF(OR(E42&gt;=0.3,E42&lt;=-0.3),"超过30%","")</f>
        <v/>
      </c>
      <c r="G42" s="625">
        <f>IF(G37&lt;G38,G38/G37-1,G37/G38-1)</f>
        <v>0.11361466168562484</v>
      </c>
      <c r="H42" s="626" t="str">
        <f>IF(OR(G42&gt;=0.3,G42&lt;=-0.3),"超过30%","")</f>
        <v/>
      </c>
      <c r="I42" s="625">
        <f>IF(I37&lt;I38,I38/I37-1,I37/I38-1)</f>
        <v>1.959331522186547E-2</v>
      </c>
      <c r="J42" s="626"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f>IF(E38&lt;G38,G38/E38-1,E38/G38-1)</f>
        <v>7.2918935218534875E-2</v>
      </c>
      <c r="F43" s="626" t="str">
        <f>IF(OR(E43&gt;=0.2,E43&lt;=-0.2),"超过20%","")</f>
        <v/>
      </c>
      <c r="G43" s="625">
        <f>IF(G38&lt;I38,I38/G38-1,G38/I38-1)</f>
        <v>1.7455983113597862E-2</v>
      </c>
      <c r="H43" s="626" t="str">
        <f>IF(OR(G43&gt;=0.2,G43&lt;=-0.2),"超过20%","")</f>
        <v/>
      </c>
      <c r="I43" s="625">
        <f>IF(I38&lt;E38,E38/I38-1,I38/E38-1)</f>
        <v>5.4511401992261455E-2</v>
      </c>
      <c r="J43" s="626"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f>IF(E37&lt;G37,G37/E37-1,E37/G37-1)</f>
        <v>2.2692307692307789E-2</v>
      </c>
      <c r="F44" s="626" t="str">
        <f>IF(OR(E44&gt;=0.3,E44&lt;=-0.3),"超过30%","")</f>
        <v/>
      </c>
      <c r="G44" s="625">
        <f>IF(G37&lt;I37,I37/G37-1,G37/I37-1)</f>
        <v>7.347597900686309E-2</v>
      </c>
      <c r="H44" s="626" t="str">
        <f>IF(OR(G44&gt;=0.3,G44&lt;=-0.3),"超过30%","")</f>
        <v/>
      </c>
      <c r="I44" s="625">
        <f>IF(I37&lt;E37,E37/I37-1,I37/E37-1)</f>
        <v>4.9656842955187797E-2</v>
      </c>
      <c r="J44" s="626"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529</v>
      </c>
      <c r="B48" s="645"/>
      <c r="C48" s="2801" t="str">
        <f>YEAR(C7)&amp;"-"&amp;MONTH(C7)</f>
        <v>2018-8</v>
      </c>
      <c r="D48" s="2803">
        <f>EDATE(C48,-1)</f>
        <v>43282</v>
      </c>
      <c r="E48" s="2803">
        <f t="shared" ref="E48:O48" si="16">EDATE(D48,-1)</f>
        <v>43252</v>
      </c>
      <c r="F48" s="2803">
        <f t="shared" si="16"/>
        <v>43221</v>
      </c>
      <c r="G48" s="2803">
        <f t="shared" si="16"/>
        <v>43191</v>
      </c>
      <c r="H48" s="2803">
        <f t="shared" si="16"/>
        <v>43160</v>
      </c>
      <c r="I48" s="2803">
        <f t="shared" si="16"/>
        <v>43132</v>
      </c>
      <c r="J48" s="2803">
        <f t="shared" si="16"/>
        <v>43101</v>
      </c>
      <c r="K48" s="2803">
        <f t="shared" si="16"/>
        <v>43070</v>
      </c>
      <c r="L48" s="2803">
        <f t="shared" si="16"/>
        <v>43040</v>
      </c>
      <c r="M48" s="2803">
        <f t="shared" si="16"/>
        <v>43009</v>
      </c>
      <c r="N48" s="2803">
        <f t="shared" si="16"/>
        <v>42979</v>
      </c>
      <c r="O48" s="2803">
        <f t="shared" si="16"/>
        <v>42948</v>
      </c>
      <c r="P48" s="2159"/>
      <c r="Q48" s="2160"/>
      <c r="R48" s="2160"/>
      <c r="S48" s="2160"/>
      <c r="T48" s="2160"/>
      <c r="U48" s="2160"/>
      <c r="V48" s="2160"/>
      <c r="W48" s="2160"/>
      <c r="X48" s="2160"/>
      <c r="Y48" s="2160"/>
      <c r="Z48" s="2160"/>
      <c r="AA48" s="2160"/>
      <c r="AB48" s="2160"/>
      <c r="AC48" s="2160"/>
    </row>
    <row r="49" spans="1:29" s="1218" customFormat="1" ht="15">
      <c r="A49" s="646"/>
      <c r="B49" s="647"/>
      <c r="C49" s="2802">
        <v>100</v>
      </c>
      <c r="D49" s="649">
        <v>100</v>
      </c>
      <c r="E49" s="649">
        <v>99.5</v>
      </c>
      <c r="F49" s="649">
        <v>99.5</v>
      </c>
      <c r="G49" s="649">
        <v>99.5</v>
      </c>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577</v>
      </c>
      <c r="B53" s="664" t="s">
        <v>534</v>
      </c>
      <c r="C53" s="703" t="str">
        <f>C9</f>
        <v>车库</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98</v>
      </c>
      <c r="E64" s="678">
        <f>D64-$K14</f>
        <v>96</v>
      </c>
      <c r="F64" s="678">
        <f>E64-$K14</f>
        <v>94</v>
      </c>
      <c r="G64" s="678">
        <f>F64-$K14</f>
        <v>92</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98</v>
      </c>
      <c r="E66" s="678">
        <f>D66-$K16</f>
        <v>96</v>
      </c>
      <c r="F66" s="678">
        <f>E66-$K16</f>
        <v>94</v>
      </c>
      <c r="G66" s="678">
        <f>F66-$K16</f>
        <v>92</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596" t="s">
        <v>2559</v>
      </c>
      <c r="C67" s="2597" t="s">
        <v>2560</v>
      </c>
      <c r="D67" s="2597" t="s">
        <v>2561</v>
      </c>
      <c r="E67" s="2597" t="s">
        <v>2562</v>
      </c>
      <c r="F67" s="2597" t="s">
        <v>2563</v>
      </c>
      <c r="G67" s="2597" t="s">
        <v>2564</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99</v>
      </c>
      <c r="E68" s="678">
        <f>D68-$K18</f>
        <v>98</v>
      </c>
      <c r="F68" s="678">
        <f>E68-$K18</f>
        <v>97</v>
      </c>
      <c r="G68" s="678">
        <f>F68-$K18</f>
        <v>96</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98</v>
      </c>
      <c r="E70" s="678">
        <f>D70-$K20</f>
        <v>96</v>
      </c>
      <c r="F70" s="678">
        <f>E70-$K20</f>
        <v>94</v>
      </c>
      <c r="G70" s="678">
        <f>F70-$K20</f>
        <v>92</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551</v>
      </c>
      <c r="B79" s="664" t="s">
        <v>814</v>
      </c>
      <c r="C79" s="703" t="str">
        <f>C26</f>
        <v>车库</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3185" t="s">
        <v>3232</v>
      </c>
      <c r="D83" s="3185" t="s">
        <v>3233</v>
      </c>
      <c r="E83" s="3186" t="s">
        <v>3234</v>
      </c>
      <c r="F83" s="3186" t="s">
        <v>3235</v>
      </c>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97</v>
      </c>
      <c r="E84" s="678">
        <f t="shared" si="18"/>
        <v>94</v>
      </c>
      <c r="F84" s="678">
        <f t="shared" si="18"/>
        <v>91</v>
      </c>
      <c r="G84" s="678">
        <f t="shared" si="18"/>
        <v>88</v>
      </c>
      <c r="H84" s="678">
        <f t="shared" si="18"/>
        <v>85</v>
      </c>
      <c r="I84" s="678">
        <f t="shared" si="18"/>
        <v>82</v>
      </c>
      <c r="J84" s="678">
        <f t="shared" si="18"/>
        <v>79</v>
      </c>
      <c r="K84" s="678">
        <f t="shared" si="18"/>
        <v>76</v>
      </c>
      <c r="L84" s="678">
        <f t="shared" si="18"/>
        <v>73</v>
      </c>
      <c r="M84" s="679">
        <f t="shared" si="18"/>
        <v>70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3178" t="s">
        <v>3236</v>
      </c>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818</v>
      </c>
      <c r="C90" s="707" t="str">
        <f>C91&amp;"(含)"&amp;"-"&amp;D91</f>
        <v>0(含)-20</v>
      </c>
      <c r="D90" s="707" t="str">
        <f t="shared" ref="D90:L90" si="21">D91&amp;"(含)"&amp;"-"&amp;E91</f>
        <v>20(含)-30</v>
      </c>
      <c r="E90" s="707" t="str">
        <f t="shared" si="21"/>
        <v>30(含)-40</v>
      </c>
      <c r="F90" s="707" t="str">
        <f t="shared" si="21"/>
        <v>40(含)-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v>0</v>
      </c>
      <c r="D91" s="729">
        <v>20</v>
      </c>
      <c r="E91" s="729">
        <v>30</v>
      </c>
      <c r="F91" s="729">
        <v>40</v>
      </c>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v>100</v>
      </c>
      <c r="D92" s="670">
        <f>C92+1</f>
        <v>101</v>
      </c>
      <c r="E92" s="670">
        <f>D92+1</f>
        <v>102</v>
      </c>
      <c r="F92" s="670">
        <f>E92+1</f>
        <v>103</v>
      </c>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3185" t="s">
        <v>3238</v>
      </c>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3178" t="s">
        <v>3239</v>
      </c>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97</v>
      </c>
      <c r="E96" s="678">
        <f>D96-$K33</f>
        <v>94</v>
      </c>
      <c r="F96" s="678">
        <f>E96-$K33</f>
        <v>91</v>
      </c>
      <c r="G96" s="678">
        <f>F96-$K33</f>
        <v>88</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797</v>
      </c>
      <c r="B4" s="512"/>
      <c r="C4" s="3410" t="s">
        <v>798</v>
      </c>
      <c r="D4" s="3411"/>
      <c r="E4" s="3435" t="s">
        <v>799</v>
      </c>
      <c r="F4" s="3436"/>
      <c r="G4" s="3410" t="s">
        <v>800</v>
      </c>
      <c r="H4" s="3411"/>
      <c r="I4" s="3410" t="s">
        <v>801</v>
      </c>
      <c r="J4" s="3411"/>
      <c r="K4" s="513" t="s">
        <v>802</v>
      </c>
      <c r="L4" s="2132"/>
      <c r="M4" s="2133"/>
      <c r="N4" s="2133"/>
      <c r="O4" s="2133"/>
      <c r="P4" s="3412" t="s">
        <v>803</v>
      </c>
      <c r="Q4" s="3413"/>
      <c r="R4" s="3398" t="s">
        <v>799</v>
      </c>
      <c r="S4" s="3399"/>
      <c r="T4" s="3398" t="s">
        <v>800</v>
      </c>
      <c r="U4" s="3399"/>
      <c r="V4" s="3418" t="s">
        <v>801</v>
      </c>
      <c r="W4" s="3418"/>
      <c r="X4" s="1565"/>
      <c r="Y4" s="3398" t="s">
        <v>803</v>
      </c>
      <c r="Z4" s="3399"/>
      <c r="AA4" s="3393" t="s">
        <v>799</v>
      </c>
      <c r="AB4" s="3394" t="s">
        <v>800</v>
      </c>
      <c r="AC4" s="3393" t="s">
        <v>801</v>
      </c>
    </row>
    <row r="5" spans="1:29" ht="15">
      <c r="A5" s="514"/>
      <c r="B5" s="515"/>
      <c r="C5" s="3421" t="s">
        <v>2925</v>
      </c>
      <c r="D5" s="3422"/>
      <c r="E5" s="3437" t="s">
        <v>2926</v>
      </c>
      <c r="F5" s="3438"/>
      <c r="G5" s="3421" t="s">
        <v>2927</v>
      </c>
      <c r="H5" s="3422"/>
      <c r="I5" s="3421" t="s">
        <v>2928</v>
      </c>
      <c r="J5" s="3422"/>
      <c r="K5" s="513"/>
      <c r="L5" s="2132"/>
      <c r="M5" s="2133"/>
      <c r="N5" s="2133"/>
      <c r="O5" s="2133"/>
      <c r="P5" s="3414"/>
      <c r="Q5" s="3415"/>
      <c r="R5" s="3400"/>
      <c r="S5" s="3401"/>
      <c r="T5" s="3400"/>
      <c r="U5" s="3401"/>
      <c r="V5" s="3418"/>
      <c r="W5" s="3418"/>
      <c r="X5" s="1565"/>
      <c r="Y5" s="3400"/>
      <c r="Z5" s="3401"/>
      <c r="AA5" s="3394"/>
      <c r="AB5" s="3394"/>
      <c r="AC5" s="3394"/>
    </row>
    <row r="6" spans="1:29" ht="15.75" thickBot="1">
      <c r="A6" s="516"/>
      <c r="B6" s="517"/>
      <c r="C6" s="3419" t="s">
        <v>2929</v>
      </c>
      <c r="D6" s="3420"/>
      <c r="E6" s="3439" t="s">
        <v>2929</v>
      </c>
      <c r="F6" s="3440"/>
      <c r="G6" s="3419" t="s">
        <v>2929</v>
      </c>
      <c r="H6" s="3420"/>
      <c r="I6" s="3419" t="s">
        <v>2929</v>
      </c>
      <c r="J6" s="3420"/>
      <c r="K6" s="513" t="s">
        <v>528</v>
      </c>
      <c r="L6" s="2132"/>
      <c r="M6" s="2133"/>
      <c r="N6" s="2133"/>
      <c r="O6" s="2133"/>
      <c r="P6" s="3416"/>
      <c r="Q6" s="3417"/>
      <c r="R6" s="3400"/>
      <c r="S6" s="3401"/>
      <c r="T6" s="3402"/>
      <c r="U6" s="3403"/>
      <c r="V6" s="3418"/>
      <c r="W6" s="3418"/>
      <c r="X6" s="1565"/>
      <c r="Y6" s="3402"/>
      <c r="Z6" s="3403"/>
      <c r="AA6" s="3395"/>
      <c r="AB6" s="3395"/>
      <c r="AC6" s="3395"/>
    </row>
    <row r="7" spans="1:29" s="1218" customFormat="1" ht="15.75" thickBot="1">
      <c r="A7" s="2911"/>
      <c r="B7" s="2918" t="s">
        <v>529</v>
      </c>
      <c r="C7" s="518">
        <f>'数据-取费表'!B2</f>
        <v>43314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96" t="s">
        <v>530</v>
      </c>
      <c r="Q7" s="3405"/>
      <c r="R7" s="1566" t="s">
        <v>8</v>
      </c>
      <c r="S7" s="1567">
        <f t="shared" ref="S7:S14" si="0">F7</f>
        <v>0</v>
      </c>
      <c r="T7" s="1566" t="s">
        <v>8</v>
      </c>
      <c r="U7" s="1567">
        <f t="shared" ref="U7:U14" si="1">H7</f>
        <v>0</v>
      </c>
      <c r="V7" s="1566" t="s">
        <v>8</v>
      </c>
      <c r="W7" s="1567">
        <f t="shared" ref="W7:W14" si="2">J7</f>
        <v>0</v>
      </c>
      <c r="X7" s="1568"/>
      <c r="Y7" s="3396" t="s">
        <v>530</v>
      </c>
      <c r="Z7" s="3397"/>
      <c r="AA7" s="1569" t="e">
        <f>D7/F7</f>
        <v>#DIV/0!</v>
      </c>
      <c r="AB7" s="1569" t="e">
        <f>D7/H7</f>
        <v>#DIV/0!</v>
      </c>
      <c r="AC7" s="1569" t="e">
        <f>D7/J7</f>
        <v>#DIV/0!</v>
      </c>
    </row>
    <row r="8" spans="1:29" s="1218" customFormat="1" ht="15.7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96" t="s">
        <v>533</v>
      </c>
      <c r="Q8" s="3397"/>
      <c r="R8" s="1566" t="s">
        <v>8</v>
      </c>
      <c r="S8" s="1567">
        <f t="shared" si="0"/>
        <v>0</v>
      </c>
      <c r="T8" s="1566" t="s">
        <v>8</v>
      </c>
      <c r="U8" s="1567">
        <f t="shared" si="1"/>
        <v>0</v>
      </c>
      <c r="V8" s="1566" t="s">
        <v>8</v>
      </c>
      <c r="W8" s="1567">
        <f t="shared" si="2"/>
        <v>0</v>
      </c>
      <c r="X8" s="1568"/>
      <c r="Y8" s="3396" t="s">
        <v>533</v>
      </c>
      <c r="Z8" s="3397"/>
      <c r="AA8" s="1569" t="e">
        <f t="shared" ref="AA8:AA34" si="3">D8/F8</f>
        <v>#DIV/0!</v>
      </c>
      <c r="AB8" s="1569" t="e">
        <f t="shared" ref="AB8:AB34" si="4">D8/H8</f>
        <v>#DIV/0!</v>
      </c>
      <c r="AC8" s="1569" t="e">
        <f t="shared" ref="AC8:AC34" si="5">D8/J8</f>
        <v>#DIV/0!</v>
      </c>
    </row>
    <row r="9" spans="1:29" s="1218" customFormat="1" ht="15">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404" t="s">
        <v>535</v>
      </c>
      <c r="Q9" s="1149" t="str">
        <f t="shared" ref="Q9:Q14" si="6">B9</f>
        <v>用途</v>
      </c>
      <c r="R9" s="1566" t="s">
        <v>8</v>
      </c>
      <c r="S9" s="1567">
        <f t="shared" si="0"/>
        <v>100</v>
      </c>
      <c r="T9" s="1566" t="s">
        <v>8</v>
      </c>
      <c r="U9" s="1567">
        <f t="shared" si="1"/>
        <v>100</v>
      </c>
      <c r="V9" s="1566" t="s">
        <v>8</v>
      </c>
      <c r="W9" s="1567">
        <f t="shared" si="2"/>
        <v>100</v>
      </c>
      <c r="X9" s="1568"/>
      <c r="Y9" s="3343" t="s">
        <v>536</v>
      </c>
      <c r="Z9" s="1148" t="str">
        <f t="shared" ref="Z9:Z14" si="7">Q9</f>
        <v>用途</v>
      </c>
      <c r="AA9" s="1569">
        <f t="shared" si="3"/>
        <v>1</v>
      </c>
      <c r="AB9" s="1569">
        <f t="shared" si="4"/>
        <v>1</v>
      </c>
      <c r="AC9" s="1569">
        <f t="shared" si="5"/>
        <v>1</v>
      </c>
    </row>
    <row r="10" spans="1:29" s="1336" customFormat="1" ht="27">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404"/>
      <c r="Q10" s="1149" t="str">
        <f t="shared" si="6"/>
        <v>土地使用年限（年）</v>
      </c>
      <c r="R10" s="1566" t="s">
        <v>8</v>
      </c>
      <c r="S10" s="1567">
        <f t="shared" si="0"/>
        <v>100</v>
      </c>
      <c r="T10" s="1566" t="s">
        <v>8</v>
      </c>
      <c r="U10" s="1567">
        <f t="shared" si="1"/>
        <v>100</v>
      </c>
      <c r="V10" s="1566" t="s">
        <v>8</v>
      </c>
      <c r="W10" s="1567">
        <f t="shared" si="2"/>
        <v>100</v>
      </c>
      <c r="X10" s="1568"/>
      <c r="Y10" s="3343"/>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404"/>
      <c r="Q11" s="1149">
        <f t="shared" si="6"/>
        <v>111</v>
      </c>
      <c r="R11" s="1566" t="s">
        <v>8</v>
      </c>
      <c r="S11" s="1567">
        <f t="shared" si="0"/>
        <v>100</v>
      </c>
      <c r="T11" s="1566" t="s">
        <v>8</v>
      </c>
      <c r="U11" s="1567">
        <f t="shared" si="1"/>
        <v>100</v>
      </c>
      <c r="V11" s="1566" t="s">
        <v>8</v>
      </c>
      <c r="W11" s="1567">
        <f t="shared" si="2"/>
        <v>100</v>
      </c>
      <c r="X11" s="1568"/>
      <c r="Y11" s="3343"/>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404"/>
      <c r="Q12" s="1149">
        <f t="shared" si="6"/>
        <v>111</v>
      </c>
      <c r="R12" s="1566" t="s">
        <v>8</v>
      </c>
      <c r="S12" s="1567">
        <f t="shared" si="0"/>
        <v>100</v>
      </c>
      <c r="T12" s="1566" t="s">
        <v>8</v>
      </c>
      <c r="U12" s="1567">
        <f t="shared" si="1"/>
        <v>100</v>
      </c>
      <c r="V12" s="1566" t="s">
        <v>8</v>
      </c>
      <c r="W12" s="1567">
        <f t="shared" si="2"/>
        <v>100</v>
      </c>
      <c r="X12" s="1568"/>
      <c r="Y12" s="3343"/>
      <c r="Z12" s="1148">
        <f t="shared" si="7"/>
        <v>111</v>
      </c>
      <c r="AA12" s="1569">
        <f>D12/F12</f>
        <v>1</v>
      </c>
      <c r="AB12" s="1569">
        <f>D12/H12</f>
        <v>1</v>
      </c>
      <c r="AC12" s="1569">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404"/>
      <c r="Q13" s="1149">
        <f t="shared" si="6"/>
        <v>111</v>
      </c>
      <c r="R13" s="1566" t="s">
        <v>8</v>
      </c>
      <c r="S13" s="1567">
        <f t="shared" si="0"/>
        <v>100</v>
      </c>
      <c r="T13" s="1566" t="s">
        <v>8</v>
      </c>
      <c r="U13" s="1567">
        <f t="shared" si="1"/>
        <v>100</v>
      </c>
      <c r="V13" s="1566" t="s">
        <v>8</v>
      </c>
      <c r="W13" s="1567">
        <f t="shared" si="2"/>
        <v>100</v>
      </c>
      <c r="X13" s="1568"/>
      <c r="Y13" s="3343"/>
      <c r="Z13" s="1148">
        <f t="shared" si="7"/>
        <v>111</v>
      </c>
      <c r="AA13" s="1569">
        <f t="shared" si="3"/>
        <v>1</v>
      </c>
      <c r="AB13" s="1569">
        <f t="shared" si="4"/>
        <v>1</v>
      </c>
      <c r="AC13" s="1569">
        <f t="shared" si="5"/>
        <v>1</v>
      </c>
    </row>
    <row r="14" spans="1:29" ht="114">
      <c r="A14" s="2909" t="s">
        <v>2755</v>
      </c>
      <c r="B14" s="165" t="s">
        <v>543</v>
      </c>
      <c r="C14" s="919" t="str">
        <f>IF(B1="工业",估价对象房地状况!G4,估价对象房地状况!C6)</f>
        <v>估价对象周边道路状况一般、公共交通通达情况一般、停车便捷程度较好，有846、821等公交线路，综合评价交通便捷度较差</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406" t="s">
        <v>540</v>
      </c>
      <c r="Q14" s="1570" t="str">
        <f t="shared" si="6"/>
        <v>交通便捷度</v>
      </c>
      <c r="R14" s="1571" t="s">
        <v>8</v>
      </c>
      <c r="S14" s="1572">
        <f t="shared" si="0"/>
        <v>100</v>
      </c>
      <c r="T14" s="1571" t="s">
        <v>8</v>
      </c>
      <c r="U14" s="1572">
        <f t="shared" si="1"/>
        <v>100</v>
      </c>
      <c r="V14" s="1571" t="s">
        <v>8</v>
      </c>
      <c r="W14" s="1572">
        <f t="shared" si="2"/>
        <v>100</v>
      </c>
      <c r="X14" s="1565"/>
      <c r="Y14" s="3406"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407"/>
      <c r="Q15" s="1570"/>
      <c r="R15" s="1571"/>
      <c r="S15" s="1572"/>
      <c r="T15" s="1571"/>
      <c r="U15" s="1572"/>
      <c r="V15" s="1571"/>
      <c r="W15" s="1572"/>
      <c r="X15" s="1565"/>
      <c r="Y15" s="3407"/>
      <c r="Z15" s="1573"/>
      <c r="AA15" s="1574">
        <v>1</v>
      </c>
      <c r="AB15" s="1574">
        <v>1</v>
      </c>
      <c r="AC15" s="1574">
        <v>1</v>
      </c>
    </row>
    <row r="16" spans="1:29" ht="42.75">
      <c r="A16" s="531"/>
      <c r="B16" s="2602" t="s">
        <v>2547</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407"/>
      <c r="Q16" s="1570" t="str">
        <f>B16</f>
        <v>公共配套设施</v>
      </c>
      <c r="R16" s="1571" t="s">
        <v>8</v>
      </c>
      <c r="S16" s="1572">
        <f>F16</f>
        <v>100</v>
      </c>
      <c r="T16" s="1571" t="s">
        <v>8</v>
      </c>
      <c r="U16" s="1572">
        <f>H16</f>
        <v>100</v>
      </c>
      <c r="V16" s="1571" t="s">
        <v>8</v>
      </c>
      <c r="W16" s="1572">
        <f>J16</f>
        <v>100</v>
      </c>
      <c r="X16" s="1565"/>
      <c r="Y16" s="3407"/>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407"/>
      <c r="Q17" s="1570"/>
      <c r="R17" s="1571"/>
      <c r="S17" s="1572"/>
      <c r="T17" s="1571"/>
      <c r="U17" s="1572"/>
      <c r="V17" s="1571"/>
      <c r="W17" s="1572"/>
      <c r="X17" s="1565"/>
      <c r="Y17" s="3407"/>
      <c r="Z17" s="1573"/>
      <c r="AA17" s="1574">
        <v>1</v>
      </c>
      <c r="AB17" s="1574">
        <v>1</v>
      </c>
      <c r="AC17" s="1574">
        <v>1</v>
      </c>
    </row>
    <row r="18" spans="1:29" ht="15">
      <c r="A18" s="531"/>
      <c r="B18" s="2590" t="s">
        <v>2559</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407"/>
      <c r="Q18" s="2578" t="str">
        <f>B18</f>
        <v>基础设施水平</v>
      </c>
      <c r="R18" s="1571" t="s">
        <v>8</v>
      </c>
      <c r="S18" s="1572">
        <f>F18</f>
        <v>100</v>
      </c>
      <c r="T18" s="1571" t="s">
        <v>8</v>
      </c>
      <c r="U18" s="1572">
        <f>H18</f>
        <v>100</v>
      </c>
      <c r="V18" s="1571" t="s">
        <v>8</v>
      </c>
      <c r="W18" s="1572">
        <f>J18</f>
        <v>100</v>
      </c>
      <c r="X18" s="2580"/>
      <c r="Y18" s="3407"/>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407"/>
      <c r="Q19" s="2578"/>
      <c r="R19" s="1571"/>
      <c r="S19" s="1572"/>
      <c r="T19" s="1571"/>
      <c r="U19" s="1572"/>
      <c r="V19" s="1571"/>
      <c r="W19" s="1572"/>
      <c r="X19" s="2580"/>
      <c r="Y19" s="3407"/>
      <c r="Z19" s="2579"/>
      <c r="AA19" s="1574">
        <v>1</v>
      </c>
      <c r="AB19" s="1574">
        <v>1</v>
      </c>
      <c r="AC19" s="1574">
        <v>1</v>
      </c>
    </row>
    <row r="20" spans="1:29" ht="28.5">
      <c r="A20" s="531"/>
      <c r="B20" s="870" t="s">
        <v>804</v>
      </c>
      <c r="C20" s="871" t="str">
        <f>IF(B1="工业",估价对象房地状况!G7,估价对象房地状况!C9)</f>
        <v>综合评价环境状况较差</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407"/>
      <c r="Q20" s="1570" t="str">
        <f>B20</f>
        <v>自然及人文环境</v>
      </c>
      <c r="R20" s="1571" t="s">
        <v>8</v>
      </c>
      <c r="S20" s="1572">
        <f>F20</f>
        <v>100</v>
      </c>
      <c r="T20" s="1571" t="s">
        <v>8</v>
      </c>
      <c r="U20" s="1572">
        <f>H20</f>
        <v>100</v>
      </c>
      <c r="V20" s="1571" t="s">
        <v>8</v>
      </c>
      <c r="W20" s="1572">
        <f>J20</f>
        <v>100</v>
      </c>
      <c r="X20" s="1565"/>
      <c r="Y20" s="3407"/>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407"/>
      <c r="Q21" s="1570"/>
      <c r="R21" s="1571"/>
      <c r="S21" s="1572"/>
      <c r="T21" s="1571"/>
      <c r="U21" s="1572"/>
      <c r="V21" s="1571"/>
      <c r="W21" s="1572"/>
      <c r="X21" s="1565"/>
      <c r="Y21" s="3407"/>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07"/>
      <c r="Q22" s="1570" t="str">
        <f>B22</f>
        <v>楼层</v>
      </c>
      <c r="R22" s="1571" t="s">
        <v>8</v>
      </c>
      <c r="S22" s="1572">
        <f>F22</f>
        <v>100</v>
      </c>
      <c r="T22" s="1571" t="s">
        <v>8</v>
      </c>
      <c r="U22" s="1572">
        <f>H22</f>
        <v>100</v>
      </c>
      <c r="V22" s="1571" t="s">
        <v>8</v>
      </c>
      <c r="W22" s="1572">
        <f>J22</f>
        <v>100</v>
      </c>
      <c r="X22" s="1565"/>
      <c r="Y22" s="3407"/>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07"/>
      <c r="Q23" s="1570">
        <f>B23</f>
        <v>111</v>
      </c>
      <c r="R23" s="1571" t="s">
        <v>8</v>
      </c>
      <c r="S23" s="1572">
        <f>F23</f>
        <v>100</v>
      </c>
      <c r="T23" s="1571" t="s">
        <v>8</v>
      </c>
      <c r="U23" s="1572">
        <f>H23</f>
        <v>100</v>
      </c>
      <c r="V23" s="1571" t="s">
        <v>8</v>
      </c>
      <c r="W23" s="1572">
        <f>J23</f>
        <v>100</v>
      </c>
      <c r="X23" s="1565"/>
      <c r="Y23" s="3407"/>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07"/>
      <c r="Q24" s="1570">
        <f t="shared" ref="Q24:Q34" si="11">B24</f>
        <v>111</v>
      </c>
      <c r="R24" s="1571" t="s">
        <v>8</v>
      </c>
      <c r="S24" s="1572">
        <f>F24</f>
        <v>100</v>
      </c>
      <c r="T24" s="1571" t="s">
        <v>8</v>
      </c>
      <c r="U24" s="1572">
        <f>H24</f>
        <v>100</v>
      </c>
      <c r="V24" s="1571" t="s">
        <v>8</v>
      </c>
      <c r="W24" s="1572">
        <f>J24</f>
        <v>100</v>
      </c>
      <c r="X24" s="1565"/>
      <c r="Y24" s="3407"/>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407"/>
      <c r="Q25" s="1149">
        <f t="shared" si="11"/>
        <v>111</v>
      </c>
      <c r="R25" s="1566" t="s">
        <v>8</v>
      </c>
      <c r="S25" s="1567">
        <f>F25</f>
        <v>100</v>
      </c>
      <c r="T25" s="1566" t="s">
        <v>8</v>
      </c>
      <c r="U25" s="1567">
        <f>H25</f>
        <v>100</v>
      </c>
      <c r="V25" s="1566" t="s">
        <v>8</v>
      </c>
      <c r="W25" s="1567">
        <f>J25</f>
        <v>100</v>
      </c>
      <c r="X25" s="1568"/>
      <c r="Y25" s="3407"/>
      <c r="Z25" s="1148">
        <f>Q25</f>
        <v>111</v>
      </c>
      <c r="AA25" s="1574">
        <f>D25/F25</f>
        <v>1</v>
      </c>
      <c r="AB25" s="1574">
        <f>D25/H25</f>
        <v>1</v>
      </c>
      <c r="AC25" s="1574">
        <f>D25/J25</f>
        <v>1</v>
      </c>
    </row>
    <row r="26" spans="1:29" ht="15">
      <c r="A26" s="2906" t="s">
        <v>2756</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408"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9"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409"/>
      <c r="Q27" s="1603" t="str">
        <f t="shared" si="11"/>
        <v>成新率</v>
      </c>
      <c r="R27" s="1575" t="s">
        <v>8</v>
      </c>
      <c r="S27" s="1576" t="e">
        <f t="shared" si="12"/>
        <v>#N/A</v>
      </c>
      <c r="T27" s="1575" t="s">
        <v>8</v>
      </c>
      <c r="U27" s="1576" t="e">
        <f t="shared" si="13"/>
        <v>#N/A</v>
      </c>
      <c r="V27" s="1575" t="s">
        <v>8</v>
      </c>
      <c r="W27" s="1576" t="e">
        <f t="shared" si="14"/>
        <v>#N/A</v>
      </c>
      <c r="X27" s="1577"/>
      <c r="Y27" s="3409"/>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09"/>
      <c r="Q28" s="1570" t="str">
        <f t="shared" si="11"/>
        <v>物业等级</v>
      </c>
      <c r="R28" s="1571" t="s">
        <v>8</v>
      </c>
      <c r="S28" s="1572">
        <f t="shared" si="12"/>
        <v>100</v>
      </c>
      <c r="T28" s="1571" t="s">
        <v>8</v>
      </c>
      <c r="U28" s="1572">
        <f t="shared" si="13"/>
        <v>100</v>
      </c>
      <c r="V28" s="1571" t="s">
        <v>8</v>
      </c>
      <c r="W28" s="1572">
        <f t="shared" si="14"/>
        <v>100</v>
      </c>
      <c r="X28" s="1565"/>
      <c r="Y28" s="3409"/>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409"/>
      <c r="Q29" s="1570" t="str">
        <f t="shared" si="11"/>
        <v>有无电梯</v>
      </c>
      <c r="R29" s="1571" t="s">
        <v>8</v>
      </c>
      <c r="S29" s="1572">
        <f t="shared" si="12"/>
        <v>100</v>
      </c>
      <c r="T29" s="1571" t="s">
        <v>8</v>
      </c>
      <c r="U29" s="1572">
        <f t="shared" si="13"/>
        <v>100</v>
      </c>
      <c r="V29" s="1571" t="s">
        <v>8</v>
      </c>
      <c r="W29" s="1572">
        <f t="shared" si="14"/>
        <v>100</v>
      </c>
      <c r="X29" s="1565"/>
      <c r="Y29" s="3409"/>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409"/>
      <c r="Q30" s="1570" t="str">
        <f t="shared" si="11"/>
        <v>建筑面积</v>
      </c>
      <c r="R30" s="1571" t="s">
        <v>8</v>
      </c>
      <c r="S30" s="1572" t="e">
        <f t="shared" si="12"/>
        <v>#N/A</v>
      </c>
      <c r="T30" s="1571" t="s">
        <v>8</v>
      </c>
      <c r="U30" s="1572" t="e">
        <f t="shared" si="13"/>
        <v>#N/A</v>
      </c>
      <c r="V30" s="1571" t="s">
        <v>8</v>
      </c>
      <c r="W30" s="1572" t="e">
        <f t="shared" si="14"/>
        <v>#N/A</v>
      </c>
      <c r="X30" s="1565"/>
      <c r="Y30" s="3409"/>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409"/>
      <c r="Q31" s="1149" t="str">
        <f t="shared" si="11"/>
        <v>是否封闭</v>
      </c>
      <c r="R31" s="1566" t="s">
        <v>8</v>
      </c>
      <c r="S31" s="1567">
        <f t="shared" si="12"/>
        <v>100</v>
      </c>
      <c r="T31" s="1566" t="s">
        <v>8</v>
      </c>
      <c r="U31" s="1567">
        <f t="shared" si="13"/>
        <v>100</v>
      </c>
      <c r="V31" s="1566" t="s">
        <v>8</v>
      </c>
      <c r="W31" s="1567">
        <f t="shared" si="14"/>
        <v>100</v>
      </c>
      <c r="X31" s="1568"/>
      <c r="Y31" s="3409"/>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409" t="s">
        <v>550</v>
      </c>
      <c r="Q32" s="1570">
        <f t="shared" si="11"/>
        <v>111</v>
      </c>
      <c r="R32" s="1571" t="s">
        <v>8</v>
      </c>
      <c r="S32" s="1572">
        <f t="shared" si="12"/>
        <v>100</v>
      </c>
      <c r="T32" s="1571" t="s">
        <v>8</v>
      </c>
      <c r="U32" s="1572">
        <f t="shared" si="13"/>
        <v>100</v>
      </c>
      <c r="V32" s="1571" t="s">
        <v>8</v>
      </c>
      <c r="W32" s="1572">
        <f t="shared" si="14"/>
        <v>100</v>
      </c>
      <c r="X32" s="1565"/>
      <c r="Y32" s="3409"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409"/>
      <c r="Q33" s="1570">
        <f t="shared" si="11"/>
        <v>111</v>
      </c>
      <c r="R33" s="1571" t="s">
        <v>8</v>
      </c>
      <c r="S33" s="1572">
        <f t="shared" si="12"/>
        <v>100</v>
      </c>
      <c r="T33" s="1571" t="s">
        <v>8</v>
      </c>
      <c r="U33" s="1572">
        <f t="shared" si="13"/>
        <v>100</v>
      </c>
      <c r="V33" s="1571" t="s">
        <v>8</v>
      </c>
      <c r="W33" s="1572">
        <f t="shared" si="14"/>
        <v>100</v>
      </c>
      <c r="X33" s="1565"/>
      <c r="Y33" s="3409"/>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409"/>
      <c r="Q34" s="1570">
        <f t="shared" si="11"/>
        <v>111</v>
      </c>
      <c r="R34" s="1571" t="s">
        <v>8</v>
      </c>
      <c r="S34" s="1572">
        <f t="shared" si="12"/>
        <v>100</v>
      </c>
      <c r="T34" s="1571" t="s">
        <v>8</v>
      </c>
      <c r="U34" s="1572">
        <f t="shared" si="13"/>
        <v>100</v>
      </c>
      <c r="V34" s="1571" t="s">
        <v>8</v>
      </c>
      <c r="W34" s="1572">
        <f t="shared" si="14"/>
        <v>100</v>
      </c>
      <c r="X34" s="1565"/>
      <c r="Y34" s="3409"/>
      <c r="Z34" s="1573">
        <f t="shared" si="15"/>
        <v>111</v>
      </c>
      <c r="AA34" s="1574">
        <f t="shared" si="3"/>
        <v>1</v>
      </c>
      <c r="AB34" s="1574">
        <f t="shared" si="4"/>
        <v>1</v>
      </c>
      <c r="AC34" s="1574">
        <f t="shared" si="5"/>
        <v>1</v>
      </c>
    </row>
    <row r="35" spans="1:29" ht="15">
      <c r="A35" s="606" t="s">
        <v>736</v>
      </c>
      <c r="B35" s="885"/>
      <c r="C35" s="2626" t="s">
        <v>1</v>
      </c>
      <c r="D35" s="2627"/>
      <c r="E35" s="2628"/>
      <c r="F35" s="2629"/>
      <c r="G35" s="2630"/>
      <c r="H35" s="2631"/>
      <c r="I35" s="2628"/>
      <c r="J35" s="2631"/>
      <c r="K35" s="1609"/>
      <c r="L35" s="2143"/>
      <c r="M35" s="2144"/>
      <c r="N35" s="2133"/>
      <c r="O35" s="2144"/>
      <c r="P35" s="3404" t="str">
        <f>A35</f>
        <v>成交单价（元/平方米）</v>
      </c>
      <c r="Q35" s="3404"/>
      <c r="R35" s="3491">
        <f>E35</f>
        <v>0</v>
      </c>
      <c r="S35" s="3491"/>
      <c r="T35" s="3491">
        <f>G35</f>
        <v>0</v>
      </c>
      <c r="U35" s="3491"/>
      <c r="V35" s="3491">
        <f>I35</f>
        <v>0</v>
      </c>
      <c r="W35" s="3491"/>
      <c r="X35" s="1557"/>
      <c r="Y35" s="1579"/>
      <c r="Z35" s="1557"/>
      <c r="AA35" s="1557"/>
      <c r="AB35" s="1557"/>
      <c r="AC35" s="1557"/>
    </row>
    <row r="36" spans="1:29" ht="15.75" thickBot="1">
      <c r="A36" s="614" t="s">
        <v>2761</v>
      </c>
      <c r="B36" s="886"/>
      <c r="C36" s="2632" t="e">
        <f>R37</f>
        <v>#DIV/0!</v>
      </c>
      <c r="D36" s="2633"/>
      <c r="E36" s="2634" t="e">
        <f>R36</f>
        <v>#DIV/0!</v>
      </c>
      <c r="F36" s="2634"/>
      <c r="G36" s="2632" t="e">
        <f>T36</f>
        <v>#DIV/0!</v>
      </c>
      <c r="H36" s="2633"/>
      <c r="I36" s="2634" t="e">
        <f>V36</f>
        <v>#DIV/0!</v>
      </c>
      <c r="J36" s="2633"/>
      <c r="K36" s="1610"/>
      <c r="L36" s="2143"/>
      <c r="M36" s="2144"/>
      <c r="N36" s="2133"/>
      <c r="O36" s="2144"/>
      <c r="P36" s="3404" t="str">
        <f>A36</f>
        <v>比较价格（元/平方米）</v>
      </c>
      <c r="Q36" s="3404"/>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57"/>
      <c r="Y36" s="1557"/>
      <c r="Z36" s="1557"/>
      <c r="AA36" s="1557"/>
      <c r="AB36" s="1557"/>
      <c r="AC36" s="1557"/>
    </row>
    <row r="37" spans="1:29" ht="15.75" thickBot="1">
      <c r="A37" s="620" t="s">
        <v>2931</v>
      </c>
      <c r="B37" s="621"/>
      <c r="C37" s="2635" t="e">
        <f>R37</f>
        <v>#DIV/0!</v>
      </c>
      <c r="D37" s="2635"/>
      <c r="E37" s="2635"/>
      <c r="F37" s="2635"/>
      <c r="G37" s="2635"/>
      <c r="H37" s="2635"/>
      <c r="I37" s="2635"/>
      <c r="J37" s="2635"/>
      <c r="K37" s="1611"/>
      <c r="L37" s="2143"/>
      <c r="M37" s="2144"/>
      <c r="N37" s="2144"/>
      <c r="O37" s="2144"/>
      <c r="P37" s="3426" t="str">
        <f>A37</f>
        <v>估价对象XX用房的比较价格（楼面单价，元/平方米）</v>
      </c>
      <c r="Q37" s="3427"/>
      <c r="R37" s="3490" t="e">
        <f>IF(F1="售价",ROUND(AVERAGE(R36:V36),0),ROUND(AVERAGE(R36:V36),1))</f>
        <v>#DIV/0!</v>
      </c>
      <c r="S37" s="3490"/>
      <c r="T37" s="3490"/>
      <c r="U37" s="3490"/>
      <c r="V37" s="3490"/>
      <c r="W37" s="3490"/>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529</v>
      </c>
      <c r="B46" s="645"/>
      <c r="C46" s="2801" t="str">
        <f>YEAR(C7)&amp;"-"&amp;MONTH(C7)</f>
        <v>2018-8</v>
      </c>
      <c r="D46" s="2803">
        <f>EDATE(C46,-1)</f>
        <v>43282</v>
      </c>
      <c r="E46" s="2803">
        <f t="shared" ref="E46:O46" si="16">EDATE(D46,-1)</f>
        <v>43252</v>
      </c>
      <c r="F46" s="2803">
        <f t="shared" si="16"/>
        <v>43221</v>
      </c>
      <c r="G46" s="2803">
        <f t="shared" si="16"/>
        <v>43191</v>
      </c>
      <c r="H46" s="2803">
        <f t="shared" si="16"/>
        <v>43160</v>
      </c>
      <c r="I46" s="2803">
        <f t="shared" si="16"/>
        <v>43132</v>
      </c>
      <c r="J46" s="2803">
        <f t="shared" si="16"/>
        <v>43101</v>
      </c>
      <c r="K46" s="2803">
        <f t="shared" si="16"/>
        <v>43070</v>
      </c>
      <c r="L46" s="2803">
        <f t="shared" si="16"/>
        <v>43040</v>
      </c>
      <c r="M46" s="2803">
        <f t="shared" si="16"/>
        <v>43009</v>
      </c>
      <c r="N46" s="2803">
        <f t="shared" si="16"/>
        <v>42979</v>
      </c>
      <c r="O46" s="2803">
        <f t="shared" si="16"/>
        <v>42948</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596" t="s">
        <v>2559</v>
      </c>
      <c r="C65" s="2597" t="s">
        <v>2560</v>
      </c>
      <c r="D65" s="2597" t="s">
        <v>2561</v>
      </c>
      <c r="E65" s="2597" t="s">
        <v>2562</v>
      </c>
      <c r="F65" s="2597" t="s">
        <v>2563</v>
      </c>
      <c r="G65" s="2597" t="s">
        <v>2564</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827</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北京捷宸阳光科技发展有限公司：</v>
      </c>
    </row>
    <row r="4" spans="1:4" ht="37.5">
      <c r="A4" s="1790" t="str">
        <f>"受贵公司委托，我公司对"&amp;项目基本情况!K2&amp;项目基本情况!B9&amp;"进行了预评估。"</f>
        <v>受贵公司委托，我公司对北京市北京市通州区马驹桥镇金桥科技产业基地共2宗住宅用地出让国有建设用地使用权市场价格进行了预评估。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捷宸阳光科技发展有限公司使用的、位于北京市北京市通州区马驹桥镇金桥科技产业基地共2宗住宅用地出让国有建设用地使用权。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7" spans="1:4" ht="93.75">
      <c r="A7" s="2872"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2018年8月2日（评估专业人员勘察现场之日）</v>
      </c>
    </row>
    <row r="12" spans="1:4" ht="18.75">
      <c r="A12" s="1796" t="s">
        <v>2027</v>
      </c>
    </row>
    <row r="13" spans="1:4" ht="18.75">
      <c r="A13" s="1790" t="s">
        <v>2073</v>
      </c>
    </row>
    <row r="14" spans="1:4" ht="37.5">
      <c r="A14" s="1790" t="str">
        <f>"根据"&amp;项目基本情况!F12&amp;"，本次评估估价对象证载（地类）用途为"&amp;项目基本情况!B12&amp;"。"</f>
        <v>根据《国有土地使用证》[]，本次评估估价对象证载（地类）用途为住宅用地。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本次评估设定用途即为证载用途住宅用地。</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74" t="s">
        <v>2750</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2305</v>
      </c>
      <c r="C1" s="3500" t="s">
        <v>2306</v>
      </c>
      <c r="D1" s="3501"/>
      <c r="E1" s="3501"/>
      <c r="F1" s="3501"/>
      <c r="G1" s="3501"/>
      <c r="H1" s="3501"/>
      <c r="I1" s="3501"/>
      <c r="J1" s="3501"/>
      <c r="K1" s="3501"/>
      <c r="L1" s="3501"/>
      <c r="M1" s="3501"/>
      <c r="N1" s="3501"/>
      <c r="O1" s="3501"/>
      <c r="P1" s="3501"/>
      <c r="Q1" s="3501"/>
      <c r="R1" s="3501"/>
      <c r="S1" s="3502"/>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2923</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2922</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2">
        <f>SUM(B24:B10000)</f>
        <v>0</v>
      </c>
      <c r="C22" s="3497" t="s">
        <v>20</v>
      </c>
      <c r="D22" s="3498"/>
      <c r="E22" s="3498"/>
      <c r="F22" s="3498"/>
      <c r="G22" s="3498"/>
      <c r="H22" s="3498"/>
      <c r="I22" s="3498"/>
      <c r="J22" s="3498"/>
      <c r="K22" s="3498"/>
      <c r="L22" s="3498"/>
      <c r="M22" s="3498"/>
      <c r="N22" s="3498"/>
      <c r="O22" s="3498"/>
      <c r="P22" s="3498"/>
      <c r="Q22" s="3499"/>
      <c r="R22" s="489" t="e">
        <f>ROUND(S22*10000/B22,0)</f>
        <v>#DIV/0!</v>
      </c>
      <c r="S22" s="52">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43314</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8"/>
  <sheetViews>
    <sheetView topLeftCell="L1" workbookViewId="0">
      <selection activeCell="Q19" sqref="Q19"/>
    </sheetView>
  </sheetViews>
  <sheetFormatPr defaultRowHeight="13.5"/>
  <cols>
    <col min="9" max="9" width="18" customWidth="1"/>
    <col min="17" max="17" width="85.125" customWidth="1"/>
  </cols>
  <sheetData>
    <row r="1" spans="1:248" s="2938" customFormat="1">
      <c r="A1" s="2938" t="s">
        <v>2992</v>
      </c>
      <c r="B1" s="2938" t="s">
        <v>2993</v>
      </c>
      <c r="C1" s="2938" t="s">
        <v>2994</v>
      </c>
      <c r="D1" s="2938" t="s">
        <v>3085</v>
      </c>
      <c r="E1" s="2938" t="s">
        <v>3086</v>
      </c>
      <c r="F1" s="2938" t="s">
        <v>3087</v>
      </c>
      <c r="G1" s="2938" t="s">
        <v>2995</v>
      </c>
      <c r="H1" s="2938" t="s">
        <v>3088</v>
      </c>
      <c r="I1" s="2938" t="s">
        <v>3089</v>
      </c>
      <c r="J1" s="2938" t="s">
        <v>2996</v>
      </c>
      <c r="K1" s="2938" t="s">
        <v>2997</v>
      </c>
      <c r="L1" s="2938" t="s">
        <v>2034</v>
      </c>
      <c r="M1" s="2938" t="s">
        <v>3090</v>
      </c>
      <c r="N1" s="2938" t="s">
        <v>3091</v>
      </c>
      <c r="O1" s="2938" t="s">
        <v>3092</v>
      </c>
      <c r="P1" s="2938" t="s">
        <v>3093</v>
      </c>
      <c r="Q1" s="2938" t="s">
        <v>2998</v>
      </c>
      <c r="R1" s="2938" t="s">
        <v>3094</v>
      </c>
      <c r="S1" s="2938" t="s">
        <v>2999</v>
      </c>
      <c r="T1" s="2938" t="s">
        <v>3000</v>
      </c>
      <c r="U1" s="2938" t="s">
        <v>3001</v>
      </c>
      <c r="V1" s="2938" t="s">
        <v>3002</v>
      </c>
      <c r="W1" s="2938" t="s">
        <v>3003</v>
      </c>
      <c r="X1" s="2938" t="s">
        <v>3095</v>
      </c>
      <c r="Y1" s="2938" t="s">
        <v>3096</v>
      </c>
      <c r="Z1" s="2938" t="s">
        <v>3097</v>
      </c>
    </row>
    <row r="2" spans="1:248" s="3177" customFormat="1">
      <c r="A2" s="3177" t="s">
        <v>3098</v>
      </c>
      <c r="B2" s="3177" t="s">
        <v>1948</v>
      </c>
      <c r="C2" s="3177" t="s">
        <v>3004</v>
      </c>
      <c r="D2" s="3177" t="s">
        <v>3099</v>
      </c>
      <c r="E2" s="3177" t="s">
        <v>2819</v>
      </c>
      <c r="F2" s="3177" t="s">
        <v>3100</v>
      </c>
      <c r="G2" s="3177" t="s">
        <v>3101</v>
      </c>
      <c r="H2" s="3177" t="s">
        <v>3102</v>
      </c>
      <c r="I2" s="3177" t="s">
        <v>3103</v>
      </c>
      <c r="J2" s="3177">
        <v>20291.37</v>
      </c>
      <c r="K2" s="3177">
        <v>36524</v>
      </c>
      <c r="L2" s="3177">
        <v>1.8</v>
      </c>
      <c r="M2" s="3177" t="s">
        <v>2819</v>
      </c>
      <c r="N2" s="3177" t="s">
        <v>3104</v>
      </c>
      <c r="O2" s="3177" t="s">
        <v>3105</v>
      </c>
      <c r="P2" s="3177" t="s">
        <v>2819</v>
      </c>
      <c r="Q2" s="3177" t="s">
        <v>3114</v>
      </c>
      <c r="R2" s="3177" t="s">
        <v>3116</v>
      </c>
      <c r="S2" s="3177" t="s">
        <v>3117</v>
      </c>
      <c r="T2" s="3177" t="s">
        <v>3118</v>
      </c>
      <c r="U2" s="3177">
        <v>62800</v>
      </c>
      <c r="V2" s="3177">
        <v>17194.16</v>
      </c>
      <c r="W2" s="3177" t="s">
        <v>2819</v>
      </c>
      <c r="X2" s="3177" t="s">
        <v>3121</v>
      </c>
      <c r="Y2" s="3177" t="s">
        <v>2819</v>
      </c>
      <c r="Z2" s="3177" t="s">
        <v>2819</v>
      </c>
    </row>
    <row r="3" spans="1:248" s="3177" customFormat="1">
      <c r="A3" s="3177" t="s">
        <v>3106</v>
      </c>
      <c r="B3" s="3177" t="s">
        <v>1948</v>
      </c>
      <c r="C3" s="3177" t="s">
        <v>3107</v>
      </c>
      <c r="D3" s="3177" t="s">
        <v>3108</v>
      </c>
      <c r="E3" s="3177" t="s">
        <v>2819</v>
      </c>
      <c r="F3" s="3177" t="s">
        <v>3109</v>
      </c>
      <c r="G3" s="3177" t="s">
        <v>3005</v>
      </c>
      <c r="H3" s="3177" t="s">
        <v>3110</v>
      </c>
      <c r="I3" s="3177" t="s">
        <v>3111</v>
      </c>
      <c r="J3" s="3177">
        <v>72996.72</v>
      </c>
      <c r="K3" s="3177">
        <v>155965</v>
      </c>
      <c r="L3" s="3177">
        <v>2.14</v>
      </c>
      <c r="M3" s="3177" t="s">
        <v>2819</v>
      </c>
      <c r="N3" s="3177" t="s">
        <v>3112</v>
      </c>
      <c r="O3" s="3177" t="s">
        <v>3113</v>
      </c>
      <c r="P3" s="3177" t="s">
        <v>2819</v>
      </c>
      <c r="Q3" s="3177" t="s">
        <v>3115</v>
      </c>
      <c r="R3" s="3177" t="s">
        <v>3116</v>
      </c>
      <c r="S3" s="3177" t="s">
        <v>3119</v>
      </c>
      <c r="T3" s="3177" t="s">
        <v>3120</v>
      </c>
      <c r="U3" s="3177">
        <v>254000</v>
      </c>
      <c r="V3" s="3177">
        <v>16285.7</v>
      </c>
      <c r="W3" s="3177">
        <v>25.37</v>
      </c>
      <c r="X3" s="3177" t="s">
        <v>3121</v>
      </c>
      <c r="Y3" s="3177" t="s">
        <v>2819</v>
      </c>
      <c r="Z3" s="3177" t="s">
        <v>2819</v>
      </c>
    </row>
    <row r="4" spans="1:248" ht="14.25">
      <c r="A4" s="3203" t="s">
        <v>3248</v>
      </c>
      <c r="B4" s="3177" t="s">
        <v>1948</v>
      </c>
      <c r="C4" s="3177" t="s">
        <v>3004</v>
      </c>
      <c r="D4" s="3177" t="s">
        <v>3249</v>
      </c>
      <c r="E4" s="3177" t="s">
        <v>2819</v>
      </c>
      <c r="F4" s="3177" t="s">
        <v>3250</v>
      </c>
      <c r="G4" s="3177" t="s">
        <v>3005</v>
      </c>
      <c r="H4" s="3177" t="s">
        <v>3251</v>
      </c>
      <c r="I4" s="3177" t="s">
        <v>3103</v>
      </c>
      <c r="J4" s="3177">
        <v>39199.449999999997</v>
      </c>
      <c r="K4" s="3177">
        <v>97998</v>
      </c>
      <c r="L4" s="3177">
        <v>2.5</v>
      </c>
      <c r="M4" s="3177" t="s">
        <v>2819</v>
      </c>
      <c r="N4" s="3177" t="s">
        <v>3252</v>
      </c>
      <c r="O4" s="3177" t="s">
        <v>3253</v>
      </c>
      <c r="P4" s="3177" t="s">
        <v>2819</v>
      </c>
      <c r="Q4" s="3177" t="s">
        <v>3254</v>
      </c>
      <c r="R4" s="3177" t="s">
        <v>3116</v>
      </c>
      <c r="S4" s="3177" t="s">
        <v>3255</v>
      </c>
      <c r="T4" s="3177" t="s">
        <v>3256</v>
      </c>
      <c r="U4" s="3177">
        <v>157000</v>
      </c>
      <c r="V4" s="3177">
        <v>16020.73</v>
      </c>
      <c r="W4" s="3177">
        <v>33.619999999999997</v>
      </c>
      <c r="X4" s="3177" t="s">
        <v>3121</v>
      </c>
      <c r="Y4" s="3177" t="s">
        <v>2819</v>
      </c>
      <c r="Z4" s="3177" t="s">
        <v>2819</v>
      </c>
      <c r="AA4" s="3177" t="s">
        <v>2819</v>
      </c>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177"/>
      <c r="BB4" s="3177"/>
      <c r="BC4" s="3177"/>
      <c r="BD4" s="3177"/>
      <c r="BE4" s="3177"/>
      <c r="BF4" s="3177"/>
      <c r="BG4" s="3177"/>
      <c r="BH4" s="3177"/>
      <c r="BI4" s="3177"/>
      <c r="BJ4" s="3177"/>
      <c r="BK4" s="3177"/>
      <c r="BL4" s="3177"/>
      <c r="BM4" s="3177"/>
      <c r="BN4" s="3177"/>
      <c r="BO4" s="3177"/>
      <c r="BP4" s="3177"/>
      <c r="BQ4" s="3177"/>
      <c r="BR4" s="3177"/>
      <c r="BS4" s="3177"/>
      <c r="BT4" s="3177"/>
      <c r="BU4" s="3177"/>
      <c r="BV4" s="3177"/>
      <c r="BW4" s="3177"/>
      <c r="BX4" s="3177"/>
      <c r="BY4" s="3177"/>
      <c r="BZ4" s="3177"/>
      <c r="CA4" s="3177"/>
      <c r="CB4" s="3177"/>
      <c r="CC4" s="3177"/>
      <c r="CD4" s="3177"/>
      <c r="CE4" s="3177"/>
      <c r="CF4" s="3177"/>
      <c r="CG4" s="3177"/>
      <c r="CH4" s="3177"/>
      <c r="CI4" s="3177"/>
      <c r="CJ4" s="3177"/>
      <c r="CK4" s="3177"/>
      <c r="CL4" s="3177"/>
      <c r="CM4" s="3177"/>
      <c r="CN4" s="3177"/>
      <c r="CO4" s="3177"/>
      <c r="CP4" s="3177"/>
      <c r="CQ4" s="3177"/>
      <c r="CR4" s="3177"/>
      <c r="CS4" s="3177"/>
      <c r="CT4" s="3177"/>
      <c r="CU4" s="3177"/>
      <c r="CV4" s="3177"/>
      <c r="CW4" s="3177"/>
      <c r="CX4" s="3177"/>
      <c r="CY4" s="3177"/>
      <c r="CZ4" s="3177"/>
      <c r="DA4" s="3177"/>
      <c r="DB4" s="3177"/>
      <c r="DC4" s="3177"/>
      <c r="DD4" s="3177"/>
      <c r="DE4" s="3177"/>
      <c r="DF4" s="3177"/>
      <c r="DG4" s="3177"/>
      <c r="DH4" s="3177"/>
      <c r="DI4" s="3177"/>
      <c r="DJ4" s="3177"/>
      <c r="DK4" s="3177"/>
      <c r="DL4" s="3177"/>
      <c r="DM4" s="3177"/>
      <c r="DN4" s="3177"/>
      <c r="DO4" s="3177"/>
      <c r="DP4" s="3177"/>
      <c r="DQ4" s="3177"/>
      <c r="DR4" s="3177"/>
      <c r="DS4" s="3177"/>
      <c r="DT4" s="3177"/>
      <c r="DU4" s="3177"/>
      <c r="DV4" s="3177"/>
      <c r="DW4" s="3177"/>
      <c r="DX4" s="3177"/>
      <c r="DY4" s="3177"/>
      <c r="DZ4" s="3177"/>
      <c r="EA4" s="3177"/>
      <c r="EB4" s="3177"/>
      <c r="EC4" s="3177"/>
      <c r="ED4" s="3177"/>
      <c r="EE4" s="3177"/>
      <c r="EF4" s="3177"/>
      <c r="EG4" s="3177"/>
      <c r="EH4" s="3177"/>
      <c r="EI4" s="3177"/>
      <c r="EJ4" s="3177"/>
      <c r="EK4" s="3177"/>
      <c r="EL4" s="3177"/>
      <c r="EM4" s="3177"/>
      <c r="EN4" s="3177"/>
      <c r="EO4" s="3177"/>
      <c r="EP4" s="3177"/>
      <c r="EQ4" s="3177"/>
      <c r="ER4" s="3177"/>
      <c r="ES4" s="3177"/>
      <c r="ET4" s="3177"/>
      <c r="EU4" s="3177"/>
      <c r="EV4" s="3177"/>
      <c r="EW4" s="3177"/>
      <c r="EX4" s="3177"/>
      <c r="EY4" s="3177"/>
      <c r="EZ4" s="3177"/>
      <c r="FA4" s="3177"/>
      <c r="FB4" s="3177"/>
      <c r="FC4" s="3177"/>
      <c r="FD4" s="3177"/>
      <c r="FE4" s="3177"/>
      <c r="FF4" s="3177"/>
      <c r="FG4" s="3177"/>
      <c r="FH4" s="3177"/>
      <c r="FI4" s="3177"/>
      <c r="FJ4" s="3177"/>
      <c r="FK4" s="3177"/>
      <c r="FL4" s="3177"/>
      <c r="FM4" s="3177"/>
      <c r="FN4" s="3177"/>
      <c r="FO4" s="3177"/>
      <c r="FP4" s="3177"/>
      <c r="FQ4" s="3177"/>
      <c r="FR4" s="3177"/>
      <c r="FS4" s="3177"/>
      <c r="FT4" s="3177"/>
      <c r="FU4" s="3177"/>
      <c r="FV4" s="3177"/>
      <c r="FW4" s="3177"/>
      <c r="FX4" s="3177"/>
      <c r="FY4" s="3177"/>
      <c r="FZ4" s="3177"/>
      <c r="GA4" s="3177"/>
      <c r="GB4" s="3177"/>
      <c r="GC4" s="3177"/>
      <c r="GD4" s="3177"/>
      <c r="GE4" s="3177"/>
      <c r="GF4" s="3177"/>
      <c r="GG4" s="3177"/>
      <c r="GH4" s="3177"/>
      <c r="GI4" s="3177"/>
      <c r="GJ4" s="3177"/>
      <c r="GK4" s="3177"/>
      <c r="GL4" s="3177"/>
      <c r="GM4" s="3177"/>
      <c r="GN4" s="3177"/>
      <c r="GO4" s="3177"/>
      <c r="GP4" s="3177"/>
      <c r="GQ4" s="3177"/>
      <c r="GR4" s="3177"/>
      <c r="GS4" s="3177"/>
      <c r="GT4" s="3177"/>
      <c r="GU4" s="3177"/>
      <c r="GV4" s="3177"/>
      <c r="GW4" s="3177"/>
      <c r="GX4" s="3177"/>
      <c r="GY4" s="3177"/>
      <c r="GZ4" s="3177"/>
      <c r="HA4" s="3177"/>
      <c r="HB4" s="3177"/>
      <c r="HC4" s="3177"/>
      <c r="HD4" s="3177"/>
      <c r="HE4" s="3177"/>
      <c r="HF4" s="3177"/>
      <c r="HG4" s="3177"/>
      <c r="HH4" s="3177"/>
      <c r="HI4" s="3177"/>
      <c r="HJ4" s="3177"/>
      <c r="HK4" s="3177"/>
      <c r="HL4" s="3177"/>
      <c r="HM4" s="3177"/>
      <c r="HN4" s="3177"/>
      <c r="HO4" s="3177"/>
      <c r="HP4" s="3177"/>
      <c r="HQ4" s="3177"/>
      <c r="HR4" s="3177"/>
      <c r="HS4" s="3177"/>
      <c r="HT4" s="3177"/>
      <c r="HU4" s="3177"/>
      <c r="HV4" s="3177"/>
      <c r="HW4" s="3177"/>
      <c r="HX4" s="3177"/>
      <c r="HY4" s="3177"/>
      <c r="HZ4" s="3177"/>
      <c r="IA4" s="3177"/>
      <c r="IB4" s="3177"/>
      <c r="IC4" s="3177"/>
      <c r="ID4" s="3177"/>
      <c r="IE4" s="3177"/>
      <c r="IF4" s="3177"/>
      <c r="IG4" s="3177"/>
      <c r="IH4" s="3177"/>
      <c r="II4" s="3177"/>
      <c r="IJ4" s="3177"/>
      <c r="IK4" s="3177"/>
      <c r="IL4" s="3177"/>
      <c r="IM4" s="3177"/>
      <c r="IN4" s="3177"/>
    </row>
    <row r="6" spans="1:248" ht="14.25">
      <c r="A6" s="3203" t="s">
        <v>3248</v>
      </c>
      <c r="B6" s="3177" t="s">
        <v>1948</v>
      </c>
      <c r="C6" s="3177" t="s">
        <v>3004</v>
      </c>
      <c r="D6" s="3177" t="s">
        <v>3249</v>
      </c>
      <c r="E6" s="3177" t="s">
        <v>2819</v>
      </c>
      <c r="F6" s="3177" t="s">
        <v>3250</v>
      </c>
      <c r="G6" s="3177" t="s">
        <v>3005</v>
      </c>
      <c r="H6" s="3177" t="s">
        <v>3251</v>
      </c>
      <c r="I6" s="3177" t="s">
        <v>3103</v>
      </c>
      <c r="J6" s="3177">
        <v>39199.449999999997</v>
      </c>
      <c r="K6" s="3177">
        <v>97998</v>
      </c>
      <c r="L6" s="3177">
        <v>2.5</v>
      </c>
      <c r="M6" s="3177" t="s">
        <v>2819</v>
      </c>
      <c r="N6" s="3177" t="s">
        <v>3252</v>
      </c>
      <c r="O6" s="3177" t="s">
        <v>3253</v>
      </c>
      <c r="P6" s="3177" t="s">
        <v>2819</v>
      </c>
      <c r="Q6" s="3177" t="s">
        <v>3254</v>
      </c>
      <c r="R6" s="3177" t="s">
        <v>3116</v>
      </c>
      <c r="S6" s="3177" t="s">
        <v>3255</v>
      </c>
      <c r="T6" s="3177" t="s">
        <v>3256</v>
      </c>
      <c r="U6" s="3177">
        <v>157000</v>
      </c>
      <c r="V6" s="3177">
        <v>16020.73</v>
      </c>
      <c r="W6" s="3177">
        <v>33.619999999999997</v>
      </c>
      <c r="X6" s="3177" t="s">
        <v>3121</v>
      </c>
      <c r="Y6" s="3177" t="s">
        <v>2819</v>
      </c>
      <c r="Z6" s="3177" t="s">
        <v>2819</v>
      </c>
      <c r="AA6" s="3177" t="s">
        <v>2819</v>
      </c>
      <c r="AB6" s="3177"/>
      <c r="AC6" s="3177"/>
      <c r="AD6" s="3177"/>
      <c r="AE6" s="3177"/>
      <c r="AF6" s="3177"/>
      <c r="AG6" s="3177"/>
      <c r="AH6" s="3177"/>
      <c r="AI6" s="3177"/>
      <c r="AJ6" s="3177"/>
      <c r="AK6" s="3177"/>
      <c r="AL6" s="3177"/>
      <c r="AM6" s="3177"/>
      <c r="AN6" s="3177"/>
      <c r="AO6" s="3177"/>
      <c r="AP6" s="3177"/>
      <c r="AQ6" s="3177"/>
      <c r="AR6" s="3177"/>
      <c r="AS6" s="3177"/>
      <c r="AT6" s="3177"/>
      <c r="AU6" s="3177"/>
      <c r="AV6" s="3177"/>
      <c r="AW6" s="3177"/>
      <c r="AX6" s="3177"/>
      <c r="AY6" s="3177"/>
      <c r="AZ6" s="3177"/>
      <c r="BA6" s="3177"/>
      <c r="BB6" s="3177"/>
      <c r="BC6" s="3177"/>
      <c r="BD6" s="3177"/>
      <c r="BE6" s="3177"/>
      <c r="BF6" s="3177"/>
      <c r="BG6" s="3177"/>
      <c r="BH6" s="3177"/>
      <c r="BI6" s="3177"/>
      <c r="BJ6" s="3177"/>
      <c r="BK6" s="3177"/>
      <c r="BL6" s="3177"/>
      <c r="BM6" s="3177"/>
      <c r="BN6" s="3177"/>
      <c r="BO6" s="3177"/>
      <c r="BP6" s="3177"/>
      <c r="BQ6" s="3177"/>
      <c r="BR6" s="3177"/>
      <c r="BS6" s="3177"/>
      <c r="BT6" s="3177"/>
      <c r="BU6" s="3177"/>
      <c r="BV6" s="3177"/>
      <c r="BW6" s="3177"/>
      <c r="BX6" s="3177"/>
      <c r="BY6" s="3177"/>
      <c r="BZ6" s="3177"/>
      <c r="CA6" s="3177"/>
      <c r="CB6" s="3177"/>
      <c r="CC6" s="3177"/>
      <c r="CD6" s="3177"/>
      <c r="CE6" s="3177"/>
      <c r="CF6" s="3177"/>
      <c r="CG6" s="3177"/>
      <c r="CH6" s="3177"/>
      <c r="CI6" s="3177"/>
      <c r="CJ6" s="3177"/>
      <c r="CK6" s="3177"/>
      <c r="CL6" s="3177"/>
      <c r="CM6" s="3177"/>
      <c r="CN6" s="3177"/>
      <c r="CO6" s="3177"/>
      <c r="CP6" s="3177"/>
      <c r="CQ6" s="3177"/>
      <c r="CR6" s="3177"/>
      <c r="CS6" s="3177"/>
      <c r="CT6" s="3177"/>
      <c r="CU6" s="3177"/>
      <c r="CV6" s="3177"/>
      <c r="CW6" s="3177"/>
      <c r="CX6" s="3177"/>
      <c r="CY6" s="3177"/>
      <c r="CZ6" s="3177"/>
      <c r="DA6" s="3177"/>
      <c r="DB6" s="3177"/>
      <c r="DC6" s="3177"/>
      <c r="DD6" s="3177"/>
      <c r="DE6" s="3177"/>
      <c r="DF6" s="3177"/>
      <c r="DG6" s="3177"/>
      <c r="DH6" s="3177"/>
      <c r="DI6" s="3177"/>
      <c r="DJ6" s="3177"/>
      <c r="DK6" s="3177"/>
      <c r="DL6" s="3177"/>
      <c r="DM6" s="3177"/>
      <c r="DN6" s="3177"/>
      <c r="DO6" s="3177"/>
      <c r="DP6" s="3177"/>
      <c r="DQ6" s="3177"/>
      <c r="DR6" s="3177"/>
      <c r="DS6" s="3177"/>
      <c r="DT6" s="3177"/>
      <c r="DU6" s="3177"/>
      <c r="DV6" s="3177"/>
      <c r="DW6" s="3177"/>
      <c r="DX6" s="3177"/>
      <c r="DY6" s="3177"/>
      <c r="DZ6" s="3177"/>
      <c r="EA6" s="3177"/>
      <c r="EB6" s="3177"/>
      <c r="EC6" s="3177"/>
      <c r="ED6" s="3177"/>
      <c r="EE6" s="3177"/>
      <c r="EF6" s="3177"/>
      <c r="EG6" s="3177"/>
      <c r="EH6" s="3177"/>
      <c r="EI6" s="3177"/>
      <c r="EJ6" s="3177"/>
      <c r="EK6" s="3177"/>
      <c r="EL6" s="3177"/>
      <c r="EM6" s="3177"/>
      <c r="EN6" s="3177"/>
      <c r="EO6" s="3177"/>
      <c r="EP6" s="3177"/>
      <c r="EQ6" s="3177"/>
      <c r="ER6" s="3177"/>
      <c r="ES6" s="3177"/>
      <c r="ET6" s="3177"/>
      <c r="EU6" s="3177"/>
      <c r="EV6" s="3177"/>
      <c r="EW6" s="3177"/>
      <c r="EX6" s="3177"/>
      <c r="EY6" s="3177"/>
      <c r="EZ6" s="3177"/>
      <c r="FA6" s="3177"/>
      <c r="FB6" s="3177"/>
      <c r="FC6" s="3177"/>
      <c r="FD6" s="3177"/>
      <c r="FE6" s="3177"/>
      <c r="FF6" s="3177"/>
      <c r="FG6" s="3177"/>
      <c r="FH6" s="3177"/>
      <c r="FI6" s="3177"/>
      <c r="FJ6" s="3177"/>
      <c r="FK6" s="3177"/>
      <c r="FL6" s="3177"/>
      <c r="FM6" s="3177"/>
      <c r="FN6" s="3177"/>
      <c r="FO6" s="3177"/>
      <c r="FP6" s="3177"/>
      <c r="FQ6" s="3177"/>
      <c r="FR6" s="3177"/>
      <c r="FS6" s="3177"/>
      <c r="FT6" s="3177"/>
      <c r="FU6" s="3177"/>
      <c r="FV6" s="3177"/>
      <c r="FW6" s="3177"/>
      <c r="FX6" s="3177"/>
      <c r="FY6" s="3177"/>
      <c r="FZ6" s="3177"/>
      <c r="GA6" s="3177"/>
      <c r="GB6" s="3177"/>
      <c r="GC6" s="3177"/>
      <c r="GD6" s="3177"/>
      <c r="GE6" s="3177"/>
      <c r="GF6" s="3177"/>
      <c r="GG6" s="3177"/>
      <c r="GH6" s="3177"/>
      <c r="GI6" s="3177"/>
      <c r="GJ6" s="3177"/>
      <c r="GK6" s="3177"/>
      <c r="GL6" s="3177"/>
      <c r="GM6" s="3177"/>
      <c r="GN6" s="3177"/>
      <c r="GO6" s="3177"/>
      <c r="GP6" s="3177"/>
      <c r="GQ6" s="3177"/>
      <c r="GR6" s="3177"/>
      <c r="GS6" s="3177"/>
      <c r="GT6" s="3177"/>
      <c r="GU6" s="3177"/>
      <c r="GV6" s="3177"/>
      <c r="GW6" s="3177"/>
      <c r="GX6" s="3177"/>
      <c r="GY6" s="3177"/>
      <c r="GZ6" s="3177"/>
      <c r="HA6" s="3177"/>
      <c r="HB6" s="3177"/>
      <c r="HC6" s="3177"/>
      <c r="HD6" s="3177"/>
      <c r="HE6" s="3177"/>
      <c r="HF6" s="3177"/>
      <c r="HG6" s="3177"/>
      <c r="HH6" s="3177"/>
      <c r="HI6" s="3177"/>
      <c r="HJ6" s="3177"/>
      <c r="HK6" s="3177"/>
      <c r="HL6" s="3177"/>
      <c r="HM6" s="3177"/>
      <c r="HN6" s="3177"/>
      <c r="HO6" s="3177"/>
      <c r="HP6" s="3177"/>
      <c r="HQ6" s="3177"/>
      <c r="HR6" s="3177"/>
      <c r="HS6" s="3177"/>
      <c r="HT6" s="3177"/>
      <c r="HU6" s="3177"/>
      <c r="HV6" s="3177"/>
      <c r="HW6" s="3177"/>
      <c r="HX6" s="3177"/>
      <c r="HY6" s="3177"/>
      <c r="HZ6" s="3177"/>
      <c r="IA6" s="3177"/>
      <c r="IB6" s="3177"/>
      <c r="IC6" s="3177"/>
      <c r="ID6" s="3177"/>
      <c r="IE6" s="3177"/>
      <c r="IF6" s="3177"/>
      <c r="IG6" s="3177"/>
      <c r="IH6" s="3177"/>
      <c r="II6" s="3177"/>
      <c r="IJ6" s="3177"/>
      <c r="IK6" s="3177"/>
      <c r="IL6" s="3177"/>
      <c r="IM6" s="3177"/>
      <c r="IN6" s="3177"/>
    </row>
    <row r="7" spans="1:248">
      <c r="A7" s="2938" t="s">
        <v>2992</v>
      </c>
      <c r="B7" s="2938" t="s">
        <v>2993</v>
      </c>
      <c r="C7" s="2938" t="s">
        <v>2994</v>
      </c>
      <c r="D7" s="2938" t="s">
        <v>3085</v>
      </c>
      <c r="E7" s="2938" t="s">
        <v>3086</v>
      </c>
      <c r="F7" s="2938" t="s">
        <v>3087</v>
      </c>
      <c r="G7" s="2938" t="s">
        <v>2995</v>
      </c>
      <c r="H7" s="2938" t="s">
        <v>3088</v>
      </c>
      <c r="I7" s="2938" t="s">
        <v>3089</v>
      </c>
      <c r="J7" s="2938" t="s">
        <v>2996</v>
      </c>
      <c r="K7" s="2938" t="s">
        <v>2997</v>
      </c>
      <c r="L7" s="2938" t="s">
        <v>2034</v>
      </c>
      <c r="M7" s="2938" t="s">
        <v>3090</v>
      </c>
      <c r="N7" s="2938" t="s">
        <v>3091</v>
      </c>
      <c r="O7" s="2938" t="s">
        <v>3092</v>
      </c>
      <c r="P7" s="2938" t="s">
        <v>3093</v>
      </c>
      <c r="Q7" s="2938" t="s">
        <v>2998</v>
      </c>
      <c r="R7" s="2938" t="s">
        <v>3094</v>
      </c>
      <c r="S7" s="2938" t="s">
        <v>2999</v>
      </c>
      <c r="T7" s="2938" t="s">
        <v>3000</v>
      </c>
      <c r="U7" s="2938" t="s">
        <v>3001</v>
      </c>
      <c r="V7" s="2938" t="s">
        <v>3002</v>
      </c>
      <c r="W7" s="2938" t="s">
        <v>3003</v>
      </c>
      <c r="X7" s="2938" t="s">
        <v>3095</v>
      </c>
      <c r="Y7" s="2938" t="s">
        <v>3257</v>
      </c>
      <c r="Z7" s="2938" t="s">
        <v>3096</v>
      </c>
      <c r="AA7" s="2938" t="s">
        <v>3097</v>
      </c>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row>
    <row r="8" spans="1:248" s="3177" customFormat="1">
      <c r="A8" s="3177" t="s">
        <v>3122</v>
      </c>
      <c r="B8" s="3177" t="s">
        <v>1948</v>
      </c>
      <c r="C8" s="3177" t="s">
        <v>3107</v>
      </c>
      <c r="D8" s="3177" t="s">
        <v>3108</v>
      </c>
      <c r="E8" s="3177" t="s">
        <v>2819</v>
      </c>
      <c r="F8" s="3177" t="s">
        <v>3123</v>
      </c>
      <c r="G8" s="3177" t="s">
        <v>3005</v>
      </c>
      <c r="H8" s="3177" t="s">
        <v>3124</v>
      </c>
      <c r="I8" s="3177" t="s">
        <v>3125</v>
      </c>
      <c r="J8" s="3177">
        <v>59994</v>
      </c>
      <c r="K8" s="3177">
        <v>123171</v>
      </c>
      <c r="L8" s="3177">
        <v>2.0499999999999998</v>
      </c>
      <c r="M8" s="3177" t="s">
        <v>2819</v>
      </c>
      <c r="N8" s="3177" t="s">
        <v>3126</v>
      </c>
      <c r="O8" s="3177" t="s">
        <v>3127</v>
      </c>
      <c r="P8" s="3177" t="s">
        <v>2819</v>
      </c>
      <c r="Q8" s="3177" t="s">
        <v>3128</v>
      </c>
      <c r="R8" s="3177" t="s">
        <v>3116</v>
      </c>
      <c r="S8" s="3177" t="s">
        <v>3119</v>
      </c>
      <c r="T8" s="3177" t="s">
        <v>3129</v>
      </c>
      <c r="U8" s="3177">
        <v>182000</v>
      </c>
      <c r="V8" s="3177">
        <v>14776.2</v>
      </c>
      <c r="W8" s="3177">
        <v>12.69</v>
      </c>
      <c r="X8" s="3177" t="s">
        <v>3121</v>
      </c>
      <c r="Y8" s="3177" t="s">
        <v>2819</v>
      </c>
      <c r="Z8" s="3177" t="s">
        <v>2819</v>
      </c>
    </row>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2040</v>
      </c>
      <c r="B1" s="3210"/>
      <c r="C1" s="3210"/>
      <c r="D1" s="3210"/>
      <c r="E1" s="3210"/>
      <c r="F1" s="3210"/>
      <c r="G1" s="3210"/>
      <c r="H1" s="3210"/>
      <c r="I1" s="3210"/>
      <c r="J1" s="3210"/>
      <c r="K1" s="3210"/>
      <c r="L1" s="3210"/>
      <c r="M1" s="3210"/>
      <c r="N1" s="3210"/>
      <c r="O1" s="3210"/>
      <c r="P1" s="3210"/>
      <c r="Q1" s="3210"/>
      <c r="R1" s="3210"/>
    </row>
    <row r="2" spans="1:18">
      <c r="A2" s="1806" t="s">
        <v>2042</v>
      </c>
      <c r="B2" s="1806"/>
      <c r="C2" s="1806"/>
      <c r="D2" s="1806"/>
      <c r="E2" s="1806"/>
      <c r="F2" s="1806"/>
      <c r="G2" s="1806"/>
      <c r="H2" s="1806"/>
      <c r="I2" s="1807"/>
      <c r="J2" s="1807"/>
      <c r="K2" s="1808" t="str">
        <f>"估价期日："&amp;TEXT(项目基本情况!D3,"yyyy年m月d日;;")</f>
        <v>估价期日：2018年8月2日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1" t="s">
        <v>2031</v>
      </c>
      <c r="B3" s="3211" t="s">
        <v>2732</v>
      </c>
      <c r="C3" s="3212" t="s">
        <v>2032</v>
      </c>
      <c r="D3" s="3211" t="s">
        <v>2736</v>
      </c>
      <c r="E3" s="3206" t="s">
        <v>2033</v>
      </c>
      <c r="F3" s="3206"/>
      <c r="G3" s="3206"/>
      <c r="H3" s="3206" t="s">
        <v>2034</v>
      </c>
      <c r="I3" s="3206"/>
      <c r="J3" s="3206"/>
      <c r="K3" s="3212" t="s">
        <v>2035</v>
      </c>
      <c r="L3" s="3212" t="s">
        <v>2036</v>
      </c>
      <c r="M3" s="3211" t="s">
        <v>2733</v>
      </c>
      <c r="N3" s="3213" t="str">
        <f>"（分摊）"&amp;项目基本情况!B16&amp;"国有建设用地使用权面积/㎡"</f>
        <v>（分摊）出让国有建设用地使用权面积/㎡</v>
      </c>
      <c r="O3" s="3211" t="s">
        <v>2065</v>
      </c>
      <c r="P3" s="3212" t="s">
        <v>2045</v>
      </c>
      <c r="Q3" s="3212" t="s">
        <v>2066</v>
      </c>
      <c r="R3" s="3212" t="s">
        <v>2037</v>
      </c>
    </row>
    <row r="4" spans="1:18" ht="36.75" customHeight="1">
      <c r="A4" s="3211"/>
      <c r="B4" s="3211"/>
      <c r="C4" s="3212"/>
      <c r="D4" s="3211"/>
      <c r="E4" s="2648" t="s">
        <v>2044</v>
      </c>
      <c r="F4" s="2648" t="s">
        <v>2745</v>
      </c>
      <c r="G4" s="2648" t="s">
        <v>2038</v>
      </c>
      <c r="H4" s="2648" t="s">
        <v>2039</v>
      </c>
      <c r="I4" s="2648" t="s">
        <v>2746</v>
      </c>
      <c r="J4" s="2648" t="s">
        <v>2038</v>
      </c>
      <c r="K4" s="3212"/>
      <c r="L4" s="3212"/>
      <c r="M4" s="3211"/>
      <c r="N4" s="3213"/>
      <c r="O4" s="3211"/>
      <c r="P4" s="3212"/>
      <c r="Q4" s="3212"/>
      <c r="R4" s="3212"/>
    </row>
    <row r="5" spans="1:18" ht="135" customHeight="1">
      <c r="A5" s="1942" t="s">
        <v>2656</v>
      </c>
      <c r="B5" s="2866" t="s">
        <v>2654</v>
      </c>
      <c r="C5" s="2647">
        <v>22</v>
      </c>
      <c r="D5" s="2646" t="s">
        <v>2655</v>
      </c>
      <c r="E5" s="1809" t="str">
        <f>项目基本情况!B12</f>
        <v>住宅用地</v>
      </c>
      <c r="F5" s="2646">
        <v>258</v>
      </c>
      <c r="G5" s="1809" t="str">
        <f>项目基本情况!B13</f>
        <v>住宅用地</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v>
      </c>
      <c r="M5" s="1809">
        <f>IF(项目基本情况!B16="出让",项目基本情况!D20,"——")</f>
        <v>0</v>
      </c>
      <c r="N5" s="1809">
        <f>项目基本情况!C22</f>
        <v>86802.49</v>
      </c>
      <c r="O5" s="1809">
        <f>项目基本情况!C21</f>
        <v>275000</v>
      </c>
      <c r="P5" s="1809">
        <f ca="1">结果表!E42</f>
        <v>29558</v>
      </c>
      <c r="Q5" s="1809">
        <f ca="1">结果表!D42</f>
        <v>9330</v>
      </c>
      <c r="R5" s="1810">
        <f ca="1">结果表!C42</f>
        <v>256572</v>
      </c>
    </row>
    <row r="6" spans="1:18">
      <c r="A6" s="3207" t="str">
        <f>IF(项目基本情况!B9="市场价格","——","抵押价格")</f>
        <v>——</v>
      </c>
      <c r="B6" s="3208"/>
      <c r="C6" s="3208"/>
      <c r="D6" s="3208"/>
      <c r="E6" s="3208"/>
      <c r="F6" s="3208"/>
      <c r="G6" s="3208"/>
      <c r="H6" s="3208"/>
      <c r="I6" s="3208"/>
      <c r="J6" s="3208"/>
      <c r="K6" s="3208"/>
      <c r="L6" s="3208"/>
      <c r="M6" s="3208"/>
      <c r="N6" s="3208"/>
      <c r="O6" s="3208"/>
      <c r="P6" s="3208"/>
      <c r="Q6" s="3209"/>
      <c r="R6" s="1811">
        <f ca="1">结果表!O39</f>
        <v>256572</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1"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4" t="s">
        <v>2067</v>
      </c>
      <c r="B1" s="3214"/>
      <c r="C1" s="3214"/>
      <c r="D1" s="3214"/>
    </row>
    <row r="2" spans="1:4" ht="47.25" customHeight="1">
      <c r="A2" s="3218" t="str">
        <f>"1.权利限制："&amp;项目基本情况!L24&amp;"未设定租赁等其他他项权利。"</f>
        <v>1.权利限制：根据估价对象《不动产权证书》原件、《国有土地使用权》——，截至估价期日，估价对象抵押权未见登记。未设定租赁等其他他项权利。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4"/>
      <c r="C3" s="3214"/>
      <c r="D3" s="3214"/>
    </row>
    <row r="4" spans="1:4" ht="36.75" customHeight="1">
      <c r="A4" s="3214" t="str">
        <f>"3.估价规划限制条件：详见"&amp;项目基本情况!E21&amp;"。"</f>
        <v>3.估价规划限制条件：详见《国有建设用地使用权出让合同》[电子监管号：3701812018B00544号]。</v>
      </c>
      <c r="B4" s="3214"/>
      <c r="C4" s="3214"/>
      <c r="D4" s="3214"/>
    </row>
    <row r="5" spans="1:4">
      <c r="A5" s="3217" t="s">
        <v>2068</v>
      </c>
      <c r="B5" s="3217"/>
      <c r="C5" s="3217"/>
      <c r="D5" s="3217"/>
    </row>
    <row r="6" spans="1:4">
      <c r="A6" s="3214" t="s">
        <v>2046</v>
      </c>
      <c r="B6" s="3214"/>
      <c r="C6" s="3214"/>
      <c r="D6" s="3214"/>
    </row>
    <row r="7" spans="1:4" ht="33" customHeight="1">
      <c r="A7" s="3214" t="s">
        <v>2576</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4"/>
      <c r="C8" s="3214"/>
      <c r="D8" s="3214"/>
    </row>
    <row r="9" spans="1:4" ht="33.75" customHeight="1">
      <c r="A9" s="3214" t="str">
        <f>IF(项目基本情况!B8="抵押","3.抵押双方在办理抵押登记手续时，应使用本公司出具的正式《土地估价报告》，特提请报告使用者注意。","——")</f>
        <v>——</v>
      </c>
      <c r="B9" s="3214"/>
      <c r="C9" s="3214"/>
      <c r="D9" s="3214"/>
    </row>
    <row r="10" spans="1:4">
      <c r="A10" s="3214" t="str">
        <f>IF(项目基本情况!B8="抵押","4.估价师所知悉的法定优先受偿款情况为：","——")</f>
        <v>——</v>
      </c>
      <c r="B10" s="3214"/>
      <c r="C10" s="3214"/>
      <c r="D10" s="3214"/>
    </row>
    <row r="11" spans="1:4" ht="37.5" customHeight="1">
      <c r="A11" s="3216" t="str">
        <f>IF(项目基本情况!B8="抵押","（1）"&amp;CONCATENATE(项目基本情况!L24,项目基本情况!L25,项目基本情况!L26),"——")</f>
        <v>——</v>
      </c>
      <c r="B11" s="3216"/>
      <c r="C11" s="3216"/>
      <c r="D11" s="3216"/>
    </row>
    <row r="12" spans="1:4" ht="168" customHeight="1">
      <c r="A12" s="3217" t="s">
        <v>2070</v>
      </c>
      <c r="B12" s="3217"/>
      <c r="C12" s="3217"/>
      <c r="D12" s="3217"/>
    </row>
    <row r="13" spans="1:4">
      <c r="A13" s="3215" t="s">
        <v>2747</v>
      </c>
      <c r="B13" s="3215"/>
      <c r="C13" s="3215"/>
      <c r="D13" s="3215"/>
    </row>
    <row r="14" spans="1:4">
      <c r="A14" s="3216" t="str">
        <f>IF(项目基本情况!B8="抵押","综上，"&amp;结果表!K47,"——")</f>
        <v>——</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2703</v>
      </c>
      <c r="B17" s="3214"/>
      <c r="C17" s="3214"/>
      <c r="D17" s="3214"/>
    </row>
    <row r="18" spans="1:4">
      <c r="A18" s="3214" t="s">
        <v>2695</v>
      </c>
      <c r="B18" s="3214"/>
      <c r="C18" s="3214"/>
      <c r="D18" s="3214"/>
    </row>
    <row r="19" spans="1:4">
      <c r="A19" s="2867" t="s">
        <v>2696</v>
      </c>
      <c r="B19" s="2867" t="s">
        <v>2697</v>
      </c>
      <c r="C19" s="2867" t="s">
        <v>2698</v>
      </c>
      <c r="D19" s="2867" t="s">
        <v>2699</v>
      </c>
    </row>
    <row r="20" spans="1:4">
      <c r="A20" s="2867" t="str">
        <f>项目基本情况!B4</f>
        <v>吴薇</v>
      </c>
      <c r="B20" s="2867">
        <f ca="1">项目基本情况!C4</f>
        <v>2002110125</v>
      </c>
      <c r="C20" s="2869"/>
      <c r="D20" s="1799" t="s">
        <v>2704</v>
      </c>
    </row>
    <row r="21" spans="1:4">
      <c r="A21" s="2867" t="str">
        <f>项目基本情况!D4</f>
        <v>赵雯</v>
      </c>
      <c r="B21" s="2867">
        <f ca="1">项目基本情况!E4</f>
        <v>2011110090</v>
      </c>
      <c r="C21" s="2869"/>
      <c r="D21" s="1799" t="s">
        <v>2705</v>
      </c>
    </row>
    <row r="23" spans="1:4">
      <c r="A23" s="3214" t="s">
        <v>2700</v>
      </c>
      <c r="B23" s="3214"/>
      <c r="C23" s="3214"/>
      <c r="D23" s="3214"/>
    </row>
    <row r="24" spans="1:4">
      <c r="A24" s="2867" t="s">
        <v>2696</v>
      </c>
      <c r="B24" s="2867" t="s">
        <v>2701</v>
      </c>
      <c r="C24" s="2867" t="s">
        <v>2698</v>
      </c>
      <c r="D24" s="2867" t="s">
        <v>2699</v>
      </c>
    </row>
    <row r="25" spans="1:4">
      <c r="A25" s="2870" t="s">
        <v>2702</v>
      </c>
      <c r="B25" s="2867" t="s">
        <v>952</v>
      </c>
      <c r="C25" s="2869"/>
      <c r="D25" s="1799" t="s">
        <v>2705</v>
      </c>
    </row>
    <row r="29" spans="1:4">
      <c r="D29" s="2868" t="s">
        <v>2041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26" t="s">
        <v>53</v>
      </c>
      <c r="B15" s="3227" t="s">
        <v>846</v>
      </c>
      <c r="C15" s="3223"/>
    </row>
    <row r="16" spans="1:7" ht="14.25">
      <c r="A16" s="3226"/>
      <c r="B16" s="3224" t="s">
        <v>54</v>
      </c>
      <c r="C16" s="1170" t="s">
        <v>53</v>
      </c>
    </row>
    <row r="17" spans="1:3" ht="14.25">
      <c r="A17" s="3226"/>
      <c r="B17" s="3224"/>
      <c r="C17" s="1170" t="s">
        <v>55</v>
      </c>
    </row>
    <row r="18" spans="1:3" ht="14.25">
      <c r="A18" s="3226"/>
      <c r="B18" s="3224"/>
      <c r="C18" s="1170" t="s">
        <v>56</v>
      </c>
    </row>
    <row r="19" spans="1:3" ht="14.25">
      <c r="A19" s="3226"/>
      <c r="B19" s="3222" t="s">
        <v>57</v>
      </c>
      <c r="C19" s="3223"/>
    </row>
    <row r="20" spans="1:3" ht="14.25">
      <c r="A20" s="1171" t="s">
        <v>58</v>
      </c>
      <c r="B20" s="1172"/>
      <c r="C20" s="1173"/>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4" t="s">
        <v>837</v>
      </c>
    </row>
    <row r="25" spans="1:3" ht="14.25">
      <c r="A25" s="3225"/>
      <c r="B25" s="3229"/>
      <c r="C25" s="1174" t="s">
        <v>838</v>
      </c>
    </row>
    <row r="26" spans="1:3" ht="14.25">
      <c r="A26" s="3225"/>
      <c r="B26" s="3229"/>
      <c r="C26" s="1174" t="s">
        <v>839</v>
      </c>
    </row>
    <row r="27" spans="1:3" ht="14.25">
      <c r="A27" s="3225"/>
      <c r="B27" s="3229"/>
      <c r="C27" s="1174" t="s">
        <v>840</v>
      </c>
    </row>
    <row r="28" spans="1:3" ht="14.25">
      <c r="A28" s="3225"/>
      <c r="B28" s="3229"/>
      <c r="C28" s="1174" t="s">
        <v>841</v>
      </c>
    </row>
    <row r="29" spans="1:3" ht="14.25">
      <c r="A29" s="3225"/>
      <c r="B29" s="3229"/>
      <c r="C29" s="1174" t="s">
        <v>842</v>
      </c>
    </row>
    <row r="30" spans="1:3" ht="14.25">
      <c r="A30" s="3225"/>
      <c r="B30" s="3229"/>
      <c r="C30" s="1174" t="s">
        <v>843</v>
      </c>
    </row>
    <row r="31" spans="1:3" ht="14.25">
      <c r="A31" s="3225"/>
      <c r="B31" s="3229"/>
      <c r="C31" s="1174" t="s">
        <v>844</v>
      </c>
    </row>
    <row r="32" spans="1:3" ht="14.25">
      <c r="A32" s="3225"/>
      <c r="B32" s="3229"/>
      <c r="C32" s="1174" t="s">
        <v>1647</v>
      </c>
    </row>
    <row r="33" spans="1:3" ht="14.25">
      <c r="A33" s="3225"/>
      <c r="B33" s="3219" t="s">
        <v>1653</v>
      </c>
      <c r="C33" s="1174" t="s">
        <v>1648</v>
      </c>
    </row>
    <row r="34" spans="1:3" ht="14.25">
      <c r="A34" s="3225"/>
      <c r="B34" s="3220"/>
      <c r="C34" s="1179" t="s">
        <v>1649</v>
      </c>
    </row>
    <row r="35" spans="1:3" ht="14.25">
      <c r="A35" s="3225"/>
      <c r="B35" s="3220"/>
      <c r="C35" s="1180" t="s">
        <v>1650</v>
      </c>
    </row>
    <row r="36" spans="1:3" ht="14.25">
      <c r="A36" s="3225"/>
      <c r="B36" s="3220"/>
      <c r="C36" s="1180" t="s">
        <v>1651</v>
      </c>
    </row>
    <row r="37" spans="1:3" ht="14.25">
      <c r="A37" s="3225"/>
      <c r="B37" s="3221"/>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48" sqref="A4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43315</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2975</v>
      </c>
      <c r="B12" s="2342">
        <v>1120110054</v>
      </c>
      <c r="C12" s="3005">
        <v>43937</v>
      </c>
      <c r="D12" s="2342" t="s">
        <v>2975</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30" t="s">
        <v>1929</v>
      </c>
      <c r="B25" s="3230"/>
      <c r="C25" s="3230"/>
      <c r="D25" s="3230"/>
      <c r="E25" s="3230"/>
      <c r="F25" s="3230"/>
      <c r="G25" s="3230"/>
    </row>
    <row r="26" spans="1:7" ht="20.25" customHeight="1">
      <c r="A26" s="3231" t="s">
        <v>1930</v>
      </c>
      <c r="B26" s="3231"/>
      <c r="C26" s="3231"/>
      <c r="D26" s="3231" t="s">
        <v>1931</v>
      </c>
      <c r="E26" s="3231"/>
      <c r="F26" s="3231"/>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2941</v>
      </c>
      <c r="F29" s="2356">
        <v>43281</v>
      </c>
    </row>
    <row r="30" spans="1:7" ht="20.25" customHeight="1">
      <c r="C30" s="2357"/>
      <c r="D30" s="2357"/>
    </row>
  </sheetData>
  <sheetProtection sheet="1" objects="1" scenarios="1"/>
  <mergeCells count="3">
    <mergeCell ref="A25:G25"/>
    <mergeCell ref="A26:C26"/>
    <mergeCell ref="D26:F26"/>
  </mergeCells>
  <phoneticPr fontId="4"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topLeftCell="C1" workbookViewId="0">
      <selection activeCell="J22" sqref="J22"/>
    </sheetView>
  </sheetViews>
  <sheetFormatPr defaultRowHeight="13.5"/>
  <cols>
    <col min="1" max="1" width="9" style="3192"/>
    <col min="2" max="2" width="20.625" style="3192" customWidth="1"/>
    <col min="3" max="3" width="12" style="3192" customWidth="1"/>
    <col min="4" max="4" width="12.5" style="3193" customWidth="1"/>
    <col min="5" max="5" width="35.125" style="3192" customWidth="1"/>
    <col min="6" max="6" width="9.375" style="3192" customWidth="1"/>
    <col min="7" max="7" width="12.5" style="3191" customWidth="1"/>
    <col min="8" max="8" width="11.25" style="3191" customWidth="1"/>
    <col min="9" max="16384" width="9" style="3191"/>
  </cols>
  <sheetData>
    <row r="1" spans="1:9" ht="15" customHeight="1">
      <c r="A1" s="3189" t="s">
        <v>3136</v>
      </c>
      <c r="B1" s="3189" t="s">
        <v>3137</v>
      </c>
      <c r="C1" s="3189" t="s">
        <v>3138</v>
      </c>
      <c r="D1" s="3190" t="s">
        <v>3139</v>
      </c>
      <c r="E1" s="3189" t="s">
        <v>3140</v>
      </c>
      <c r="F1" s="3195"/>
    </row>
    <row r="2" spans="1:9" ht="15" customHeight="1">
      <c r="A2" s="3189">
        <v>1</v>
      </c>
      <c r="B2" s="3189" t="s">
        <v>3141</v>
      </c>
      <c r="C2" s="3189" t="s">
        <v>3142</v>
      </c>
      <c r="D2" s="3190">
        <v>8.6</v>
      </c>
      <c r="E2" s="3189"/>
      <c r="F2" s="3195"/>
    </row>
    <row r="3" spans="1:9" ht="15" customHeight="1">
      <c r="A3" s="3189">
        <v>1.1000000000000001</v>
      </c>
      <c r="B3" s="3189" t="s">
        <v>3143</v>
      </c>
      <c r="C3" s="3189" t="s">
        <v>3142</v>
      </c>
      <c r="D3" s="3190">
        <v>8.6</v>
      </c>
      <c r="E3" s="3189"/>
      <c r="F3" s="3195"/>
    </row>
    <row r="4" spans="1:9" ht="15" customHeight="1">
      <c r="A4" s="3189">
        <v>1.1100000000000001</v>
      </c>
      <c r="B4" s="3189" t="s">
        <v>3144</v>
      </c>
      <c r="C4" s="3189" t="s">
        <v>3142</v>
      </c>
      <c r="D4" s="3190">
        <v>8.6</v>
      </c>
      <c r="E4" s="3189"/>
      <c r="F4" s="3195"/>
    </row>
    <row r="5" spans="1:9" ht="15" customHeight="1">
      <c r="A5" s="3189">
        <v>1.2</v>
      </c>
      <c r="B5" s="3189" t="s">
        <v>3145</v>
      </c>
      <c r="C5" s="3189" t="s">
        <v>3142</v>
      </c>
      <c r="D5" s="3190">
        <v>0</v>
      </c>
      <c r="E5" s="3189"/>
      <c r="F5" s="3195"/>
    </row>
    <row r="6" spans="1:9" ht="15" customHeight="1">
      <c r="A6" s="3189" t="s">
        <v>3146</v>
      </c>
      <c r="B6" s="3189" t="s">
        <v>3147</v>
      </c>
      <c r="C6" s="3189" t="s">
        <v>3142</v>
      </c>
      <c r="D6" s="3190">
        <v>0</v>
      </c>
      <c r="E6" s="3189"/>
      <c r="F6" s="3195"/>
    </row>
    <row r="7" spans="1:9" ht="15" customHeight="1">
      <c r="A7" s="3189">
        <v>2</v>
      </c>
      <c r="B7" s="3189" t="s">
        <v>3148</v>
      </c>
      <c r="C7" s="3189"/>
      <c r="D7" s="3190" t="s">
        <v>3149</v>
      </c>
      <c r="E7" s="3189" t="s">
        <v>3150</v>
      </c>
      <c r="F7" s="3195"/>
    </row>
    <row r="8" spans="1:9" ht="15" customHeight="1">
      <c r="A8" s="3189"/>
      <c r="B8" s="3189" t="s">
        <v>3151</v>
      </c>
      <c r="C8" s="3189"/>
      <c r="D8" s="3190" t="s">
        <v>3152</v>
      </c>
      <c r="E8" s="3189" t="s">
        <v>3150</v>
      </c>
      <c r="F8" s="3195"/>
    </row>
    <row r="9" spans="1:9" ht="15" customHeight="1">
      <c r="A9" s="3189">
        <v>3</v>
      </c>
      <c r="B9" s="3189" t="s">
        <v>3153</v>
      </c>
      <c r="C9" s="3189" t="s">
        <v>3154</v>
      </c>
      <c r="D9" s="3190" t="s">
        <v>3155</v>
      </c>
      <c r="E9" s="3189" t="s">
        <v>3150</v>
      </c>
      <c r="F9" s="3195"/>
    </row>
    <row r="10" spans="1:9" ht="15" customHeight="1">
      <c r="A10" s="3189">
        <v>3.1</v>
      </c>
      <c r="B10" s="3189" t="s">
        <v>3156</v>
      </c>
      <c r="C10" s="3189" t="s">
        <v>3154</v>
      </c>
      <c r="D10" s="3190" t="s">
        <v>3157</v>
      </c>
      <c r="E10" s="3189" t="s">
        <v>3150</v>
      </c>
      <c r="F10" s="3195"/>
    </row>
    <row r="11" spans="1:9" ht="15" customHeight="1">
      <c r="A11" s="3189" t="s">
        <v>3158</v>
      </c>
      <c r="B11" s="3189" t="s">
        <v>3159</v>
      </c>
      <c r="C11" s="3189" t="s">
        <v>3154</v>
      </c>
      <c r="D11" s="3190" t="s">
        <v>3160</v>
      </c>
      <c r="E11" s="3189" t="s">
        <v>3161</v>
      </c>
      <c r="F11" s="3195"/>
      <c r="G11" s="3196" t="str">
        <f>B10</f>
        <v>地上建筑面积</v>
      </c>
      <c r="H11" s="3197">
        <f>SUM(H12:H14)</f>
        <v>215000</v>
      </c>
      <c r="I11" s="3194">
        <f>H11/'数据-基础表'!A3</f>
        <v>2.4768873576374428</v>
      </c>
    </row>
    <row r="12" spans="1:9" ht="15" customHeight="1">
      <c r="A12" s="3189" t="s">
        <v>3162</v>
      </c>
      <c r="B12" s="3189" t="s">
        <v>3163</v>
      </c>
      <c r="C12" s="3189" t="s">
        <v>3154</v>
      </c>
      <c r="D12" s="3190" t="s">
        <v>3164</v>
      </c>
      <c r="E12" s="3189" t="s">
        <v>3165</v>
      </c>
      <c r="F12" s="3195"/>
      <c r="G12" s="3196" t="s">
        <v>3190</v>
      </c>
      <c r="H12" s="3197">
        <f t="shared" ref="H12:H18" si="0">D11*10000</f>
        <v>180600</v>
      </c>
    </row>
    <row r="13" spans="1:9" ht="15" customHeight="1">
      <c r="A13" s="3189" t="s">
        <v>3166</v>
      </c>
      <c r="B13" s="3189" t="s">
        <v>3167</v>
      </c>
      <c r="C13" s="3189" t="s">
        <v>3154</v>
      </c>
      <c r="D13" s="3190" t="s">
        <v>3168</v>
      </c>
      <c r="E13" s="3189" t="s">
        <v>3169</v>
      </c>
      <c r="F13" s="3195"/>
      <c r="G13" s="3196" t="s">
        <v>3191</v>
      </c>
      <c r="H13" s="3197">
        <f t="shared" si="0"/>
        <v>10750</v>
      </c>
    </row>
    <row r="14" spans="1:9" ht="15" customHeight="1">
      <c r="A14" s="3189">
        <v>3.2</v>
      </c>
      <c r="B14" s="3189" t="s">
        <v>3170</v>
      </c>
      <c r="C14" s="3189" t="s">
        <v>3154</v>
      </c>
      <c r="D14" s="3190" t="s">
        <v>3171</v>
      </c>
      <c r="E14" s="3189" t="s">
        <v>3150</v>
      </c>
      <c r="F14" s="3195"/>
      <c r="G14" s="3196" t="s">
        <v>3192</v>
      </c>
      <c r="H14" s="3197">
        <f t="shared" si="0"/>
        <v>23650.000000000004</v>
      </c>
    </row>
    <row r="15" spans="1:9" ht="15" customHeight="1">
      <c r="A15" s="3189" t="s">
        <v>3172</v>
      </c>
      <c r="B15" s="3189" t="s">
        <v>3173</v>
      </c>
      <c r="C15" s="3189" t="s">
        <v>3154</v>
      </c>
      <c r="D15" s="3190" t="s">
        <v>3174</v>
      </c>
      <c r="E15" s="3189" t="s">
        <v>3150</v>
      </c>
      <c r="F15" s="3195"/>
      <c r="G15" s="3196" t="s">
        <v>3193</v>
      </c>
      <c r="H15" s="3197">
        <f t="shared" si="0"/>
        <v>60000</v>
      </c>
    </row>
    <row r="16" spans="1:9" ht="15" customHeight="1">
      <c r="A16" s="3189" t="s">
        <v>3175</v>
      </c>
      <c r="B16" s="3189" t="s">
        <v>3176</v>
      </c>
      <c r="C16" s="3189" t="s">
        <v>3154</v>
      </c>
      <c r="D16" s="3190" t="s">
        <v>3174</v>
      </c>
      <c r="E16" s="3189" t="s">
        <v>3150</v>
      </c>
      <c r="F16" s="3195"/>
      <c r="G16" s="3196" t="s">
        <v>3195</v>
      </c>
      <c r="H16" s="3197">
        <f t="shared" si="0"/>
        <v>20000</v>
      </c>
      <c r="I16" s="3194">
        <f>H16/D19</f>
        <v>30.03003003003003</v>
      </c>
    </row>
    <row r="17" spans="1:8" ht="15" customHeight="1">
      <c r="A17" s="3189" t="s">
        <v>3177</v>
      </c>
      <c r="B17" s="3189" t="s">
        <v>3178</v>
      </c>
      <c r="C17" s="3189" t="s">
        <v>3154</v>
      </c>
      <c r="D17" s="3190" t="s">
        <v>3174</v>
      </c>
      <c r="E17" s="3189" t="s">
        <v>3179</v>
      </c>
      <c r="F17" s="3195"/>
      <c r="G17" s="3196" t="s">
        <v>3196</v>
      </c>
      <c r="H17" s="3197">
        <f t="shared" si="0"/>
        <v>20000</v>
      </c>
    </row>
    <row r="18" spans="1:8" ht="15" customHeight="1">
      <c r="A18" s="3189">
        <v>3.3</v>
      </c>
      <c r="B18" s="3189" t="s">
        <v>3180</v>
      </c>
      <c r="C18" s="3189" t="s">
        <v>3181</v>
      </c>
      <c r="D18" s="3190" t="s">
        <v>3182</v>
      </c>
      <c r="E18" s="3189"/>
      <c r="F18" s="3195"/>
      <c r="G18" s="3196" t="s">
        <v>3197</v>
      </c>
      <c r="H18" s="3197">
        <f t="shared" si="0"/>
        <v>20000</v>
      </c>
    </row>
    <row r="19" spans="1:8" ht="15" customHeight="1">
      <c r="A19" s="3189"/>
      <c r="B19" s="3189" t="s">
        <v>3183</v>
      </c>
      <c r="C19" s="3189" t="s">
        <v>3181</v>
      </c>
      <c r="D19" s="3190" t="s">
        <v>3184</v>
      </c>
      <c r="E19" s="3189" t="s">
        <v>3185</v>
      </c>
      <c r="F19" s="3195"/>
      <c r="G19" s="3194"/>
      <c r="H19" s="3194">
        <f>SUM(H11,H15)</f>
        <v>275000</v>
      </c>
    </row>
    <row r="20" spans="1:8" ht="15" customHeight="1">
      <c r="A20" s="3189"/>
      <c r="B20" s="3189" t="s">
        <v>3186</v>
      </c>
      <c r="C20" s="3189" t="s">
        <v>3181</v>
      </c>
      <c r="D20" s="3190" t="s">
        <v>3184</v>
      </c>
      <c r="E20" s="3189" t="s">
        <v>3187</v>
      </c>
      <c r="F20" s="3195"/>
    </row>
    <row r="21" spans="1:8" ht="28.5" customHeight="1"/>
  </sheetData>
  <phoneticPr fontId="234" type="noConversion"/>
  <pageMargins left="0.70866141732283472" right="0.70866141732283472" top="0.74803149606299213" bottom="0.74803149606299213" header="0.31496062992125984" footer="0.31496062992125984"/>
  <pageSetup paperSize="9" orientation="landscape"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技术经济指标</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2018-08-03T01:18:56Z</dcterms:modified>
</cp:coreProperties>
</file>