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F19" i="6"/>
  <c r="K13" i="3"/>
  <c r="I13" i="3"/>
  <c r="C11" i="4"/>
  <c r="B7" i="4"/>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s="1"/>
  <c r="C5" i="68" s="1"/>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B60" i="72" s="1"/>
  <c r="A13" i="62"/>
  <c r="B59" i="72"/>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E12" i="6"/>
  <c r="E62" i="39" s="1"/>
  <c r="E13" i="6"/>
  <c r="E58" i="40" s="1"/>
  <c r="G29" i="6"/>
  <c r="AC26" i="33"/>
  <c r="W26" i="33"/>
  <c r="W27" i="34"/>
  <c r="AC27" i="34"/>
  <c r="AB34" i="36"/>
  <c r="U34" i="36"/>
  <c r="AB33" i="36"/>
  <c r="U33" i="36"/>
  <c r="AC12" i="39"/>
  <c r="W12" i="39"/>
  <c r="AC39" i="40"/>
  <c r="W39" i="40"/>
  <c r="AZ401" i="3"/>
  <c r="AZ412" i="3"/>
  <c r="AZ417" i="3"/>
  <c r="AZ428" i="3"/>
  <c r="AZ433" i="3"/>
  <c r="AZ465" i="3"/>
  <c r="AZ586" i="3"/>
  <c r="C101" i="43"/>
  <c r="C103"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31"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BA13" i="3"/>
  <c r="E10" i="6"/>
  <c r="BA5" i="3"/>
  <c r="E11" i="6"/>
  <c r="E61" i="39" s="1"/>
  <c r="BL17" i="3"/>
  <c r="AZ17" i="3"/>
  <c r="BL13" i="3"/>
  <c r="AZ13" i="3" s="1"/>
  <c r="AZ5" i="3" s="1"/>
  <c r="G30" i="6"/>
  <c r="G31" i="6" s="1"/>
  <c r="J56" i="9"/>
  <c r="J57" i="9" s="1"/>
  <c r="J59" i="9" s="1"/>
  <c r="J61" i="9" s="1"/>
  <c r="A24" i="51"/>
  <c r="B18" i="72"/>
  <c r="U29" i="34"/>
  <c r="E14" i="6"/>
  <c r="E64" i="39" s="1"/>
  <c r="E5" i="6"/>
  <c r="D9" i="11" s="1"/>
  <c r="C9" i="11" s="1"/>
  <c r="H22" i="43"/>
  <c r="M101" i="43"/>
  <c r="M109" i="43" s="1"/>
  <c r="E32" i="6"/>
  <c r="L19" i="6"/>
  <c r="G1" i="68"/>
  <c r="K1" i="12"/>
  <c r="E28" i="6"/>
  <c r="C107" i="43"/>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B11" i="43"/>
  <c r="AB13" i="43" s="1"/>
  <c r="AI11" i="43"/>
  <c r="AI13" i="43" s="1"/>
  <c r="AA11" i="43"/>
  <c r="AA13" i="43" s="1"/>
  <c r="E48" i="43"/>
  <c r="B46" i="43"/>
  <c r="E70" i="43"/>
  <c r="B68" i="43"/>
  <c r="F100" i="43"/>
  <c r="H17" i="43"/>
  <c r="G6" i="1"/>
  <c r="H85" i="43"/>
  <c r="H81" i="43"/>
  <c r="H84" i="43"/>
  <c r="H88" i="43"/>
  <c r="H53" i="43"/>
  <c r="H78" i="43"/>
  <c r="H71" i="43"/>
  <c r="C17" i="43"/>
  <c r="F33" i="43"/>
  <c r="K17" i="43"/>
  <c r="G17" i="43" s="1"/>
  <c r="C16" i="43" s="1"/>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c r="C59" i="34"/>
  <c r="D59" i="34"/>
  <c r="E59" i="34" s="1"/>
  <c r="F59" i="34" s="1"/>
  <c r="G59" i="34" s="1"/>
  <c r="H59" i="34" s="1"/>
  <c r="C52" i="37"/>
  <c r="D52" i="37"/>
  <c r="E52" i="37" s="1"/>
  <c r="A4" i="51"/>
  <c r="B6" i="72" s="1"/>
  <c r="C48" i="35"/>
  <c r="D48" i="35"/>
  <c r="E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30" i="11"/>
  <c r="C48" i="11"/>
  <c r="F28" i="67"/>
  <c r="F31" i="12"/>
  <c r="F52" i="9"/>
  <c r="M18" i="67"/>
  <c r="F32" i="67"/>
  <c r="F60" i="67"/>
  <c r="F30" i="69"/>
  <c r="C48" i="69"/>
  <c r="F32" i="15"/>
  <c r="F60" i="15"/>
  <c r="M18" i="15"/>
  <c r="F28" i="15"/>
  <c r="E63" i="39"/>
  <c r="T11" i="1"/>
  <c r="D9" i="69"/>
  <c r="C9" i="69" s="1"/>
  <c r="D19" i="12"/>
  <c r="C19" i="12" s="1"/>
  <c r="AQ9" i="1"/>
  <c r="AR11" i="1"/>
  <c r="C28" i="15"/>
  <c r="T9" i="1"/>
  <c r="T13" i="1"/>
  <c r="E125" i="3"/>
  <c r="E319" i="3"/>
  <c r="E530" i="3"/>
  <c r="E501" i="3"/>
  <c r="E343" i="3"/>
  <c r="E153" i="3"/>
  <c r="E305" i="3"/>
  <c r="E426" i="3"/>
  <c r="E508" i="3"/>
  <c r="E328" i="3"/>
  <c r="D9" i="68"/>
  <c r="C9" i="68" s="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3" i="43"/>
  <c r="E388" i="3"/>
  <c r="O6" i="3"/>
  <c r="E555" i="3"/>
  <c r="E574" i="3"/>
  <c r="E410" i="3"/>
  <c r="E359" i="3"/>
  <c r="E337" i="3"/>
  <c r="E285" i="3"/>
  <c r="E143" i="3"/>
  <c r="E97" i="3"/>
  <c r="K14" i="1"/>
  <c r="M14" i="1" s="1"/>
  <c r="BL5" i="3"/>
  <c r="E270" i="3"/>
  <c r="E390" i="3"/>
  <c r="E533" i="3"/>
  <c r="S6" i="3"/>
  <c r="AR6" i="3"/>
  <c r="E523" i="3"/>
  <c r="E561" i="3"/>
  <c r="E506" i="3"/>
  <c r="E538" i="3"/>
  <c r="E418" i="3"/>
  <c r="E439" i="3"/>
  <c r="E338" i="3"/>
  <c r="E380" i="3"/>
  <c r="E321"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6"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M7" i="1"/>
  <c r="O7" i="1" s="1"/>
  <c r="P7" i="1" s="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M18" i="9"/>
  <c r="B118" i="9" s="1"/>
  <c r="B14" i="74" s="1"/>
  <c r="B1" i="74" s="1"/>
  <c r="AC11" i="37"/>
  <c r="W11" i="37"/>
  <c r="W11" i="34"/>
  <c r="AC11" i="34"/>
  <c r="R7" i="1"/>
  <c r="F34" i="11"/>
  <c r="C36" i="11" s="1"/>
  <c r="F11" i="12"/>
  <c r="C23" i="12" s="1"/>
  <c r="F34" i="68"/>
  <c r="R8" i="1"/>
  <c r="AE7" i="1"/>
  <c r="AE8" i="1"/>
  <c r="AE6"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AD3" i="71"/>
  <c r="D63" i="40"/>
  <c r="D65" i="40" s="1"/>
  <c r="J1" i="73"/>
  <c r="C13" i="12"/>
  <c r="C30" i="69"/>
  <c r="C77" i="9"/>
  <c r="C74" i="9" s="1"/>
  <c r="C28" i="67"/>
  <c r="C30" i="68"/>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E46" i="36"/>
  <c r="C24" i="12"/>
  <c r="C48" i="68"/>
  <c r="C14" i="71"/>
  <c r="D14" i="71"/>
  <c r="D15" i="71"/>
  <c r="D16" i="71"/>
  <c r="U16" i="71"/>
  <c r="S16" i="71"/>
  <c r="T16" i="71"/>
  <c r="AB14" i="71"/>
  <c r="X12" i="71"/>
  <c r="X11" i="71"/>
  <c r="AA12" i="71"/>
  <c r="AA11" i="71"/>
  <c r="X15" i="71"/>
  <c r="Z10" i="71"/>
  <c r="Y11" i="71"/>
  <c r="Z11" i="71" s="1"/>
  <c r="AB12" i="71"/>
  <c r="AB11" i="71"/>
  <c r="S12" i="71"/>
  <c r="C94" i="9"/>
  <c r="C92" i="9"/>
  <c r="F13" i="71"/>
  <c r="F12" i="71"/>
  <c r="Y12" i="71"/>
  <c r="Z12" i="71" s="1"/>
  <c r="X3" i="71"/>
  <c r="C13" i="71"/>
  <c r="E13" i="71"/>
  <c r="E12" i="71"/>
  <c r="G20" i="43"/>
  <c r="E63" i="40"/>
  <c r="D70" i="39"/>
  <c r="E68" i="39"/>
  <c r="V12" i="71"/>
  <c r="C12" i="71"/>
  <c r="D13" i="71"/>
  <c r="E65" i="40"/>
  <c r="F63" i="40"/>
  <c r="E41" i="43"/>
  <c r="C41" i="43"/>
  <c r="C20" i="43"/>
  <c r="F68" i="39"/>
  <c r="E70" i="39"/>
  <c r="I59" i="34"/>
  <c r="J59" i="34" s="1"/>
  <c r="D10" i="71"/>
  <c r="T12" i="71"/>
  <c r="D11" i="71"/>
  <c r="D12" i="71"/>
  <c r="F65" i="40"/>
  <c r="G63" i="40"/>
  <c r="G68" i="39"/>
  <c r="F70" i="39"/>
  <c r="C19" i="43"/>
  <c r="U12" i="71"/>
  <c r="G65" i="40"/>
  <c r="H63" i="40"/>
  <c r="H68" i="39"/>
  <c r="G70" i="39"/>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s="1"/>
  <c r="O68" i="39"/>
  <c r="O70" i="39"/>
  <c r="F7" i="39" s="1"/>
  <c r="S7" i="39" s="1"/>
  <c r="N70" i="39"/>
  <c r="J7" i="39"/>
  <c r="W7" i="39" s="1"/>
  <c r="H7" i="39"/>
  <c r="U7" i="39" s="1"/>
  <c r="E7" i="76"/>
  <c r="AO12" i="1"/>
  <c r="F40" i="15"/>
  <c r="D2" i="33"/>
  <c r="B11" i="76"/>
  <c r="F42" i="67"/>
  <c r="F7" i="15"/>
  <c r="M27" i="15"/>
  <c r="L47" i="15"/>
  <c r="M9" i="15"/>
  <c r="E2" i="69"/>
  <c r="M8" i="67"/>
  <c r="AO7" i="1"/>
  <c r="D7" i="73"/>
  <c r="C19" i="9"/>
  <c r="D2" i="21"/>
  <c r="F9" i="67"/>
  <c r="F3" i="73"/>
  <c r="E11" i="76"/>
  <c r="M28" i="15"/>
  <c r="F41" i="67"/>
  <c r="B9" i="76"/>
  <c r="F36" i="67"/>
  <c r="F36" i="15"/>
  <c r="M21" i="67"/>
  <c r="F38" i="67"/>
  <c r="F38" i="15"/>
  <c r="C20" i="9"/>
  <c r="L47" i="67"/>
  <c r="F20" i="31"/>
  <c r="F16" i="67"/>
  <c r="D34" i="9"/>
  <c r="F8" i="15"/>
  <c r="B7" i="76"/>
  <c r="F37" i="67"/>
  <c r="F6" i="15"/>
  <c r="AO10" i="1"/>
  <c r="M26" i="15"/>
  <c r="M6" i="67"/>
  <c r="F7" i="67"/>
  <c r="M23" i="15"/>
  <c r="F41" i="15"/>
  <c r="D6" i="73"/>
  <c r="F6" i="73"/>
  <c r="F4" i="73"/>
  <c r="J15" i="67"/>
  <c r="AO11" i="1"/>
  <c r="M29" i="67"/>
  <c r="B13" i="76"/>
  <c r="D2" i="35"/>
  <c r="L48" i="67"/>
  <c r="AO6" i="1"/>
  <c r="E13" i="76"/>
  <c r="F26" i="15"/>
  <c r="F37" i="15"/>
  <c r="E8" i="76"/>
  <c r="F43" i="15"/>
  <c r="E10" i="76"/>
  <c r="F13" i="67"/>
  <c r="M22" i="15"/>
  <c r="D3" i="73"/>
  <c r="L48" i="15"/>
  <c r="M21" i="15"/>
  <c r="AO8" i="1"/>
  <c r="M24" i="15"/>
  <c r="M23" i="67"/>
  <c r="E9" i="76"/>
  <c r="M24" i="67"/>
  <c r="M28" i="67"/>
  <c r="B12" i="76"/>
  <c r="F6" i="67"/>
  <c r="D2" i="34"/>
  <c r="M29" i="15"/>
  <c r="F26" i="67"/>
  <c r="F43" i="67"/>
  <c r="E2" i="68"/>
  <c r="D4" i="73"/>
  <c r="D20" i="9"/>
  <c r="F8" i="67"/>
  <c r="B10" i="76"/>
  <c r="B8" i="76"/>
  <c r="D35" i="9"/>
  <c r="C76" i="67"/>
  <c r="E12" i="76"/>
  <c r="AO13" i="1"/>
  <c r="M27" i="67"/>
  <c r="F5" i="73"/>
  <c r="AO9" i="1"/>
  <c r="F7" i="73"/>
  <c r="D5" i="73"/>
  <c r="D19" i="9"/>
  <c r="D2" i="37"/>
  <c r="F16" i="15"/>
  <c r="F42" i="15"/>
  <c r="M22" i="67"/>
  <c r="C76" i="15"/>
  <c r="F9" i="15"/>
  <c r="F35" i="67"/>
  <c r="M26" i="67"/>
  <c r="M8" i="15"/>
  <c r="J15" i="15"/>
  <c r="D2" i="36"/>
  <c r="F40" i="67"/>
  <c r="M6" i="15"/>
  <c r="F35" i="15"/>
  <c r="F13" i="15"/>
  <c r="M9" i="67"/>
  <c r="F102" i="43" l="1"/>
  <c r="F105" i="43"/>
  <c r="H16" i="1"/>
  <c r="M6" i="1"/>
  <c r="O6" i="1" s="1"/>
  <c r="P6" i="1" s="1"/>
  <c r="C34" i="69"/>
  <c r="C35" i="69" s="1"/>
  <c r="Q16" i="1"/>
  <c r="T7" i="1"/>
  <c r="AQ7" i="1"/>
  <c r="M103" i="43"/>
  <c r="M102" i="43"/>
  <c r="J22" i="43"/>
  <c r="C23" i="43"/>
  <c r="C21" i="43" s="1"/>
  <c r="AE11" i="43"/>
  <c r="AE13" i="43" s="1"/>
  <c r="Z7" i="43"/>
  <c r="AF11" i="43"/>
  <c r="AF13" i="43" s="1"/>
  <c r="C109" i="43"/>
  <c r="S2" i="43"/>
  <c r="E101" i="43"/>
  <c r="H101" i="43"/>
  <c r="F27" i="68"/>
  <c r="F45" i="68" s="1"/>
  <c r="E2" i="70"/>
  <c r="E59" i="40"/>
  <c r="F28" i="12"/>
  <c r="C29" i="12" s="1"/>
  <c r="D28" i="12" s="1"/>
  <c r="D3" i="37"/>
  <c r="D19" i="11"/>
  <c r="C19" i="11" s="1"/>
  <c r="C20" i="11" s="1"/>
  <c r="M105" i="43"/>
  <c r="M107" i="43"/>
  <c r="M104" i="43"/>
  <c r="E53"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C104" i="43"/>
  <c r="C106" i="43"/>
  <c r="C105" i="43"/>
  <c r="C102" i="43"/>
  <c r="F104" i="43"/>
  <c r="F107" i="43"/>
  <c r="F106" i="43"/>
  <c r="F103" i="43"/>
  <c r="F109" i="43"/>
  <c r="F22" i="43"/>
  <c r="K101" i="43"/>
  <c r="N101" i="43"/>
  <c r="G101" i="43"/>
  <c r="J101" i="43"/>
  <c r="L101" i="43"/>
  <c r="D101" i="43"/>
  <c r="I101" i="43"/>
  <c r="G22" i="43"/>
  <c r="AH11" i="43"/>
  <c r="AH13" i="43" s="1"/>
  <c r="AD11" i="43"/>
  <c r="AD13" i="43" s="1"/>
  <c r="Z11" i="43"/>
  <c r="Z13" i="43" s="1"/>
  <c r="S5" i="43"/>
  <c r="AG11" i="43"/>
  <c r="AG13" i="43" s="1"/>
  <c r="AC11" i="43"/>
  <c r="AC13" i="43" s="1"/>
  <c r="Y11" i="43"/>
  <c r="Y13" i="43" s="1"/>
  <c r="S6" i="43"/>
  <c r="S4" i="43"/>
  <c r="S7" i="43"/>
  <c r="N104" i="46"/>
  <c r="E22" i="43"/>
  <c r="B113" i="43"/>
  <c r="E175" i="3"/>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8" i="6"/>
  <c r="O11" i="1"/>
  <c r="P11" i="1" s="1"/>
  <c r="M16" i="1"/>
  <c r="C34" i="68" s="1"/>
  <c r="O9" i="1"/>
  <c r="P9" i="1" s="1"/>
  <c r="E60" i="40"/>
  <c r="E65" i="39"/>
  <c r="O8" i="1"/>
  <c r="D3" i="34"/>
  <c r="D3" i="33"/>
  <c r="E6" i="6"/>
  <c r="D37" i="11"/>
  <c r="C37" i="11" s="1"/>
  <c r="D14" i="12"/>
  <c r="D17" i="12" s="1"/>
  <c r="C17" i="12" s="1"/>
  <c r="O14" i="1"/>
  <c r="P14" i="1" s="1"/>
  <c r="E29" i="6"/>
  <c r="F30" i="6"/>
  <c r="E56" i="40"/>
  <c r="G16" i="1"/>
  <c r="J10" i="39" s="1"/>
  <c r="D20" i="53"/>
  <c r="B40" i="72" s="1"/>
  <c r="C7" i="74"/>
  <c r="I14" i="74"/>
  <c r="B8" i="74" s="1"/>
  <c r="D127" i="9"/>
  <c r="D13" i="52" s="1"/>
  <c r="D12" i="52"/>
  <c r="J7" i="40"/>
  <c r="AC7" i="40" s="1"/>
  <c r="V42" i="40" s="1"/>
  <c r="I42" i="40" s="1"/>
  <c r="I46" i="40" s="1"/>
  <c r="J46" i="40" s="1"/>
  <c r="F7" i="40"/>
  <c r="AA7" i="40" s="1"/>
  <c r="R42" i="40" s="1"/>
  <c r="R43" i="40" s="1"/>
  <c r="H7" i="40"/>
  <c r="U7" i="40" s="1"/>
  <c r="H7" i="34"/>
  <c r="K59" i="34"/>
  <c r="L59" i="34" s="1"/>
  <c r="M59" i="34" s="1"/>
  <c r="N59" i="34" s="1"/>
  <c r="O59" i="34" s="1"/>
  <c r="F7" i="34"/>
  <c r="G52" i="33"/>
  <c r="H52" i="33" s="1"/>
  <c r="G53" i="33"/>
  <c r="H53" i="33" s="1"/>
  <c r="F46" i="36"/>
  <c r="W7" i="33"/>
  <c r="AC7" i="33"/>
  <c r="V48" i="33" s="1"/>
  <c r="I48" i="33" s="1"/>
  <c r="U7" i="33"/>
  <c r="S7" i="33"/>
  <c r="AA7" i="33"/>
  <c r="R48" i="33" s="1"/>
  <c r="F48" i="35"/>
  <c r="F52" i="37"/>
  <c r="D58" i="21"/>
  <c r="T35" i="4"/>
  <c r="A19" i="51" s="1"/>
  <c r="B14" i="72" s="1"/>
  <c r="H75" i="43"/>
  <c r="D5" i="43"/>
  <c r="C5" i="43"/>
  <c r="T14" i="43" s="1"/>
  <c r="V14" i="43" s="1"/>
  <c r="H87" i="43"/>
  <c r="H86" i="43"/>
  <c r="F31" i="67"/>
  <c r="F31" i="15"/>
  <c r="K4" i="4"/>
  <c r="B46" i="48" s="1"/>
  <c r="B4" i="72" s="1"/>
  <c r="B4" i="62"/>
  <c r="B71" i="72" s="1"/>
  <c r="C29" i="68"/>
  <c r="D27" i="68" s="1"/>
  <c r="D9" i="53"/>
  <c r="B25" i="72" s="1"/>
  <c r="B24" i="72"/>
  <c r="K120" i="9"/>
  <c r="A18" i="62" s="1"/>
  <c r="B64" i="72" s="1"/>
  <c r="D7" i="71"/>
  <c r="C6" i="71"/>
  <c r="T11" i="43"/>
  <c r="V11" i="43" s="1"/>
  <c r="T12" i="43"/>
  <c r="V12" i="43" s="1"/>
  <c r="Y8" i="71"/>
  <c r="Z8" i="71" s="1"/>
  <c r="Y7" i="71"/>
  <c r="AA8" i="71"/>
  <c r="AB3" i="71"/>
  <c r="C35" i="43"/>
  <c r="E35" i="43" s="1"/>
  <c r="C36" i="43"/>
  <c r="E36" i="43" s="1"/>
  <c r="T9" i="43"/>
  <c r="V9" i="43" s="1"/>
  <c r="C39" i="43"/>
  <c r="C37" i="43"/>
  <c r="E37" i="43" s="1"/>
  <c r="B8" i="71"/>
  <c r="B7" i="71" s="1"/>
  <c r="B6" i="71" s="1"/>
  <c r="B5" i="71" s="1"/>
  <c r="X8" i="71"/>
  <c r="AB8" i="71"/>
  <c r="T4" i="43"/>
  <c r="V4" i="43" s="1"/>
  <c r="T15" i="43"/>
  <c r="V15" i="43" s="1"/>
  <c r="T6" i="43"/>
  <c r="V6" i="43" s="1"/>
  <c r="Z7" i="71"/>
  <c r="Y3" i="71"/>
  <c r="Z3" i="71" s="1"/>
  <c r="D8" i="71"/>
  <c r="F8" i="71"/>
  <c r="F7" i="71" s="1"/>
  <c r="F6" i="71" s="1"/>
  <c r="F5" i="71" s="1"/>
  <c r="AC7" i="39"/>
  <c r="V47" i="39" s="1"/>
  <c r="I47" i="39" s="1"/>
  <c r="I51" i="39" s="1"/>
  <c r="J51" i="39" s="1"/>
  <c r="S7" i="40"/>
  <c r="AA7" i="39"/>
  <c r="R47" i="39" s="1"/>
  <c r="R48" i="39" s="1"/>
  <c r="W7" i="40"/>
  <c r="AF3" i="71"/>
  <c r="P22" i="43" s="1"/>
  <c r="AB7" i="39"/>
  <c r="T47" i="39" s="1"/>
  <c r="G47" i="39" s="1"/>
  <c r="C29" i="43"/>
  <c r="C34" i="43"/>
  <c r="T10" i="43"/>
  <c r="V10" i="43" s="1"/>
  <c r="T7" i="43"/>
  <c r="V7" i="43" s="1"/>
  <c r="C33" i="43"/>
  <c r="T16" i="43"/>
  <c r="V16" i="43" s="1"/>
  <c r="T13" i="43"/>
  <c r="V13" i="43" s="1"/>
  <c r="T8" i="43"/>
  <c r="V8" i="43" s="1"/>
  <c r="T2" i="43"/>
  <c r="V2" i="43" s="1"/>
  <c r="C38" i="43"/>
  <c r="T3" i="43"/>
  <c r="V3" i="43" s="1"/>
  <c r="T5" i="43"/>
  <c r="V5" i="43" s="1"/>
  <c r="C36" i="68"/>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59" i="67" s="1"/>
  <c r="F63" i="67"/>
  <c r="C62" i="67" s="1"/>
  <c r="C34" i="67"/>
  <c r="F68" i="67"/>
  <c r="F64" i="67"/>
  <c r="J20" i="15"/>
  <c r="F68" i="15"/>
  <c r="C14" i="15"/>
  <c r="C14" i="67"/>
  <c r="C16" i="15"/>
  <c r="C16" i="67"/>
  <c r="C17" i="67"/>
  <c r="G1" i="73"/>
  <c r="C17" i="15"/>
  <c r="C47" i="68" l="1"/>
  <c r="D45" i="68" s="1"/>
  <c r="C38" i="69"/>
  <c r="E102" i="43"/>
  <c r="E106" i="43"/>
  <c r="E103" i="43"/>
  <c r="E104" i="43"/>
  <c r="E107" i="43"/>
  <c r="E105" i="43"/>
  <c r="E109" i="43"/>
  <c r="F27" i="69"/>
  <c r="F27" i="11"/>
  <c r="C28" i="11" s="1"/>
  <c r="C27" i="11" s="1"/>
  <c r="H107" i="43"/>
  <c r="H106" i="43"/>
  <c r="H105" i="43"/>
  <c r="H109" i="43"/>
  <c r="H102" i="43"/>
  <c r="H103" i="43"/>
  <c r="H104" i="43"/>
  <c r="C15" i="15"/>
  <c r="C18" i="15"/>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B118" i="43"/>
  <c r="C118" i="43" s="1"/>
  <c r="I116" i="43"/>
  <c r="J116" i="43" s="1"/>
  <c r="K116" i="43" s="1"/>
  <c r="L116" i="43" s="1"/>
  <c r="M116" i="43" s="1"/>
  <c r="I115" i="43"/>
  <c r="J115" i="43" s="1"/>
  <c r="K115" i="43" s="1"/>
  <c r="L115" i="43" s="1"/>
  <c r="M115" i="43" s="1"/>
  <c r="G118" i="43"/>
  <c r="H118" i="43" s="1"/>
  <c r="I109" i="43"/>
  <c r="I104" i="43"/>
  <c r="I107" i="43"/>
  <c r="I105" i="43"/>
  <c r="I102" i="43"/>
  <c r="I106" i="43"/>
  <c r="I103" i="43"/>
  <c r="L109" i="43"/>
  <c r="L106" i="43"/>
  <c r="L107" i="43"/>
  <c r="L103" i="43"/>
  <c r="L102" i="43"/>
  <c r="L105" i="43"/>
  <c r="L104" i="43"/>
  <c r="G105" i="43"/>
  <c r="G102" i="43"/>
  <c r="G103" i="43"/>
  <c r="G107" i="43"/>
  <c r="G109" i="43"/>
  <c r="G104" i="43"/>
  <c r="G106" i="43"/>
  <c r="K103" i="43"/>
  <c r="K107" i="43"/>
  <c r="K104" i="43"/>
  <c r="K106" i="43"/>
  <c r="K109" i="43"/>
  <c r="K105" i="43"/>
  <c r="K102" i="43"/>
  <c r="C14" i="12"/>
  <c r="J10" i="40"/>
  <c r="AC6" i="3"/>
  <c r="E6" i="3" s="1"/>
  <c r="D22" i="43"/>
  <c r="D109" i="43"/>
  <c r="D105" i="43"/>
  <c r="D106" i="43"/>
  <c r="D102" i="43"/>
  <c r="D103" i="43"/>
  <c r="D104" i="43"/>
  <c r="D107" i="43"/>
  <c r="J104" i="43"/>
  <c r="J105" i="43"/>
  <c r="J103" i="43"/>
  <c r="J106" i="43"/>
  <c r="J109" i="43"/>
  <c r="J107" i="43"/>
  <c r="J102" i="43"/>
  <c r="N102" i="43"/>
  <c r="N103" i="43"/>
  <c r="N106" i="43"/>
  <c r="N107" i="43"/>
  <c r="N109" i="43"/>
  <c r="N105" i="43"/>
  <c r="N104" i="43"/>
  <c r="C38" i="68"/>
  <c r="C35" i="68"/>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87" i="3"/>
  <c r="AY34" i="3"/>
  <c r="AY144" i="3"/>
  <c r="AY95" i="3"/>
  <c r="AY152" i="3"/>
  <c r="AY111" i="3"/>
  <c r="AY253" i="3"/>
  <c r="AY382" i="3"/>
  <c r="AY303" i="3"/>
  <c r="AY460" i="3"/>
  <c r="AY529" i="3"/>
  <c r="AY300" i="3"/>
  <c r="AY217" i="3"/>
  <c r="AY327" i="3"/>
  <c r="AY463" i="3"/>
  <c r="AY401" i="3"/>
  <c r="AY544" i="3"/>
  <c r="BE6" i="3"/>
  <c r="AY92" i="3"/>
  <c r="AY76"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AY207" i="3"/>
  <c r="AY42" i="3"/>
  <c r="AY168" i="3"/>
  <c r="AY366" i="3"/>
  <c r="AY441" i="3"/>
  <c r="AY260" i="3"/>
  <c r="AY310" i="3"/>
  <c r="AY549" i="3"/>
  <c r="AY97"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BC6" i="3"/>
  <c r="AY511" i="3"/>
  <c r="AY504" i="3"/>
  <c r="AY586" i="3"/>
  <c r="AY498" i="3"/>
  <c r="AY51" i="3"/>
  <c r="AY124" i="3"/>
  <c r="AY281" i="3"/>
  <c r="AY236" i="3"/>
  <c r="AY473" i="3"/>
  <c r="AY26" i="3"/>
  <c r="AY372" i="3"/>
  <c r="AY420" i="3"/>
  <c r="AY533" i="3"/>
  <c r="AY61"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66" i="3"/>
  <c r="AY583" i="3"/>
  <c r="BT6" i="3"/>
  <c r="AY567" i="3"/>
  <c r="F27" i="6"/>
  <c r="E27" i="6" s="1"/>
  <c r="E56" i="39"/>
  <c r="E66" i="39" s="1"/>
  <c r="E51" i="40"/>
  <c r="E16" i="6"/>
  <c r="O16" i="1"/>
  <c r="N16" i="1"/>
  <c r="C34" i="11"/>
  <c r="L16" i="1"/>
  <c r="E30" i="6"/>
  <c r="E31" i="6" s="1"/>
  <c r="K15" i="1"/>
  <c r="K16" i="1" s="1"/>
  <c r="D29" i="6"/>
  <c r="P8" i="1"/>
  <c r="P16" i="1" s="1"/>
  <c r="C11" i="12" s="1"/>
  <c r="D10" i="11"/>
  <c r="C10" i="11" s="1"/>
  <c r="D20" i="12"/>
  <c r="C20" i="12" s="1"/>
  <c r="C18" i="12" s="1"/>
  <c r="D6" i="6"/>
  <c r="D10" i="68"/>
  <c r="D10" i="69"/>
  <c r="E42" i="40"/>
  <c r="I47" i="40" s="1"/>
  <c r="J47" i="40" s="1"/>
  <c r="H10" i="39"/>
  <c r="AB10" i="39" s="1"/>
  <c r="F10" i="40"/>
  <c r="F10" i="39"/>
  <c r="H10" i="40"/>
  <c r="C8" i="74"/>
  <c r="F7" i="35"/>
  <c r="G48" i="35"/>
  <c r="H48" i="35" s="1"/>
  <c r="I48" i="35" s="1"/>
  <c r="J48" i="35" s="1"/>
  <c r="K48" i="35" s="1"/>
  <c r="L48" i="35" s="1"/>
  <c r="M48" i="35" s="1"/>
  <c r="N48" i="35" s="1"/>
  <c r="O48" i="35" s="1"/>
  <c r="W10" i="40"/>
  <c r="AC10" i="40"/>
  <c r="G46" i="36"/>
  <c r="H46" i="36" s="1"/>
  <c r="I46" i="36" s="1"/>
  <c r="J46" i="36" s="1"/>
  <c r="K46" i="36" s="1"/>
  <c r="L46" i="36" s="1"/>
  <c r="M46" i="36" s="1"/>
  <c r="N46" i="36" s="1"/>
  <c r="O46" i="36" s="1"/>
  <c r="S7" i="34"/>
  <c r="AA7" i="34"/>
  <c r="R49" i="34" s="1"/>
  <c r="U7" i="34"/>
  <c r="AB7" i="34"/>
  <c r="T49" i="34" s="1"/>
  <c r="G49" i="34" s="1"/>
  <c r="AB7" i="40"/>
  <c r="T42" i="40" s="1"/>
  <c r="G42" i="40" s="1"/>
  <c r="G47" i="40" s="1"/>
  <c r="H47" i="40" s="1"/>
  <c r="G52" i="37"/>
  <c r="H7" i="35"/>
  <c r="R49" i="33"/>
  <c r="E48" i="33"/>
  <c r="W10" i="39"/>
  <c r="AC10" i="39"/>
  <c r="I52" i="33"/>
  <c r="J52" i="33" s="1"/>
  <c r="I53" i="33"/>
  <c r="J53" i="33" s="1"/>
  <c r="F7" i="36"/>
  <c r="J7" i="36"/>
  <c r="J7" i="34"/>
  <c r="E58" i="21"/>
  <c r="F58" i="21" s="1"/>
  <c r="G58" i="21" s="1"/>
  <c r="H58" i="21" s="1"/>
  <c r="I58" i="21" s="1"/>
  <c r="J58" i="21" s="1"/>
  <c r="K58" i="21" s="1"/>
  <c r="L58" i="21" s="1"/>
  <c r="M58" i="21" s="1"/>
  <c r="N58" i="21" s="1"/>
  <c r="O58" i="21" s="1"/>
  <c r="F7" i="21"/>
  <c r="G35" i="43"/>
  <c r="I35" i="43" s="1"/>
  <c r="G36" i="43"/>
  <c r="I36" i="43" s="1"/>
  <c r="G37" i="43"/>
  <c r="I37" i="43" s="1"/>
  <c r="D6" i="71"/>
  <c r="C5" i="71"/>
  <c r="D5" i="71" s="1"/>
  <c r="E47" i="39"/>
  <c r="E52" i="39" s="1"/>
  <c r="F52" i="39" s="1"/>
  <c r="M17" i="67"/>
  <c r="M17" i="15"/>
  <c r="F59" i="15"/>
  <c r="P24" i="43"/>
  <c r="B66" i="40" s="1"/>
  <c r="P21" i="43"/>
  <c r="C49" i="67"/>
  <c r="E39" i="43"/>
  <c r="G39" i="43"/>
  <c r="I39" i="43" s="1"/>
  <c r="P25" i="43"/>
  <c r="P23" i="43"/>
  <c r="B71" i="39" s="1"/>
  <c r="M20" i="43"/>
  <c r="C30" i="43"/>
  <c r="E30" i="43" s="1"/>
  <c r="E29" i="43"/>
  <c r="C48" i="39"/>
  <c r="C47" i="39"/>
  <c r="C43" i="40"/>
  <c r="C42" i="40"/>
  <c r="E38" i="43"/>
  <c r="G38" i="43"/>
  <c r="I38" i="43" s="1"/>
  <c r="G34" i="43"/>
  <c r="I34" i="43" s="1"/>
  <c r="E34" i="43"/>
  <c r="G51" i="39"/>
  <c r="H51" i="39" s="1"/>
  <c r="G52" i="39"/>
  <c r="H52" i="39" s="1"/>
  <c r="G33" i="43"/>
  <c r="I33" i="43" s="1"/>
  <c r="E33" i="43"/>
  <c r="C26" i="43" s="1"/>
  <c r="E51" i="39"/>
  <c r="F51" i="39" s="1"/>
  <c r="C49" i="15"/>
  <c r="C15" i="67"/>
  <c r="C18" i="67"/>
  <c r="B40" i="1"/>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9" i="15" l="1"/>
  <c r="C47" i="69"/>
  <c r="D45" i="69" s="1"/>
  <c r="C29" i="69"/>
  <c r="D27" i="69" s="1"/>
  <c r="F45" i="69"/>
  <c r="C47" i="11"/>
  <c r="D45" i="11" s="1"/>
  <c r="C29" i="11"/>
  <c r="D27" i="11" s="1"/>
  <c r="U10" i="39"/>
  <c r="C115" i="43"/>
  <c r="D113" i="43"/>
  <c r="E46" i="40"/>
  <c r="F46" i="40" s="1"/>
  <c r="I52" i="39"/>
  <c r="J52" i="39" s="1"/>
  <c r="K20" i="6"/>
  <c r="M20" i="6" s="1"/>
  <c r="I20" i="6" s="1"/>
  <c r="S20" i="6" s="1"/>
  <c r="K19" i="6"/>
  <c r="S6" i="1" s="1"/>
  <c r="K24" i="6"/>
  <c r="M24" i="6" s="1"/>
  <c r="I24" i="6" s="1"/>
  <c r="S24" i="6" s="1"/>
  <c r="K26" i="6"/>
  <c r="M26" i="6" s="1"/>
  <c r="I26" i="6" s="1"/>
  <c r="S26" i="6" s="1"/>
  <c r="K21" i="6"/>
  <c r="M21" i="6" s="1"/>
  <c r="I21" i="6" s="1"/>
  <c r="K25" i="6"/>
  <c r="M25" i="6" s="1"/>
  <c r="I25" i="6" s="1"/>
  <c r="K22" i="6"/>
  <c r="M22" i="6" s="1"/>
  <c r="I22" i="6" s="1"/>
  <c r="K23" i="6"/>
  <c r="M23" i="6" s="1"/>
  <c r="I23" i="6" s="1"/>
  <c r="D19" i="6"/>
  <c r="D26" i="6"/>
  <c r="C18" i="4"/>
  <c r="D8" i="6"/>
  <c r="D23" i="6"/>
  <c r="D14" i="6"/>
  <c r="H20" i="6"/>
  <c r="M19" i="9"/>
  <c r="C118" i="9" s="1"/>
  <c r="C14" i="74" s="1"/>
  <c r="B2" i="74" s="1"/>
  <c r="D25" i="6"/>
  <c r="D15" i="6"/>
  <c r="D22" i="6"/>
  <c r="D21" i="6"/>
  <c r="D24" i="6"/>
  <c r="D20" i="6"/>
  <c r="D5" i="6"/>
  <c r="D9" i="6"/>
  <c r="D13" i="6"/>
  <c r="D28" i="6"/>
  <c r="D30" i="6" s="1"/>
  <c r="H24" i="6"/>
  <c r="D12" i="6"/>
  <c r="D11" i="6"/>
  <c r="L19" i="9"/>
  <c r="E61" i="40"/>
  <c r="D10" i="6"/>
  <c r="F31" i="6"/>
  <c r="G46" i="40"/>
  <c r="H46" i="40" s="1"/>
  <c r="F50" i="11"/>
  <c r="F50" i="69"/>
  <c r="F50" i="68"/>
  <c r="C38" i="11"/>
  <c r="C35" i="11"/>
  <c r="C10" i="68"/>
  <c r="D19" i="68"/>
  <c r="C15" i="12"/>
  <c r="C12" i="12"/>
  <c r="C10" i="69"/>
  <c r="C8" i="69" s="1"/>
  <c r="C5" i="69" s="1"/>
  <c r="D19" i="69"/>
  <c r="E47" i="40"/>
  <c r="F47" i="40" s="1"/>
  <c r="S10" i="39"/>
  <c r="AA10" i="39"/>
  <c r="U10" i="40"/>
  <c r="AB10" i="40"/>
  <c r="AA10" i="40"/>
  <c r="S10" i="40"/>
  <c r="J7" i="21"/>
  <c r="AC7" i="34"/>
  <c r="V49" i="34" s="1"/>
  <c r="I49" i="34" s="1"/>
  <c r="W7" i="34"/>
  <c r="S7" i="36"/>
  <c r="AA7" i="36"/>
  <c r="R36" i="36" s="1"/>
  <c r="C48" i="33"/>
  <c r="C49" i="33"/>
  <c r="B2" i="33" s="1"/>
  <c r="B3" i="33" s="1"/>
  <c r="H52" i="37"/>
  <c r="G53" i="34"/>
  <c r="H53" i="34" s="1"/>
  <c r="G54" i="34"/>
  <c r="H54" i="34" s="1"/>
  <c r="R50" i="34"/>
  <c r="E49" i="34"/>
  <c r="H7" i="36"/>
  <c r="J7" i="35"/>
  <c r="AA7" i="21"/>
  <c r="R48" i="21" s="1"/>
  <c r="S7" i="21"/>
  <c r="AC7" i="36"/>
  <c r="V36" i="36" s="1"/>
  <c r="I36" i="36" s="1"/>
  <c r="W7" i="36"/>
  <c r="E53" i="33"/>
  <c r="F53" i="33" s="1"/>
  <c r="E52" i="33"/>
  <c r="F52" i="33" s="1"/>
  <c r="U7" i="35"/>
  <c r="AB7" i="35"/>
  <c r="T38" i="35" s="1"/>
  <c r="G38" i="35" s="1"/>
  <c r="AA7" i="35"/>
  <c r="R38" i="35" s="1"/>
  <c r="S7" i="35"/>
  <c r="H7" i="2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C20" i="15"/>
  <c r="C26" i="15" s="1"/>
  <c r="E6" i="76"/>
  <c r="H26" i="6" l="1"/>
  <c r="R26" i="6" s="1"/>
  <c r="AQ6" i="1"/>
  <c r="S16" i="1"/>
  <c r="T6" i="1"/>
  <c r="T16" i="1" s="1"/>
  <c r="AR6" i="1"/>
  <c r="R24" i="6"/>
  <c r="R20" i="6"/>
  <c r="C4" i="52"/>
  <c r="B45" i="72" s="1"/>
  <c r="A10" i="51"/>
  <c r="B9" i="72" s="1"/>
  <c r="A7" i="51"/>
  <c r="B7" i="72" s="1"/>
  <c r="D27" i="6"/>
  <c r="D31" i="6" s="1"/>
  <c r="I5" i="6" s="1"/>
  <c r="H22" i="6"/>
  <c r="R22" i="6" s="1"/>
  <c r="S22" i="6"/>
  <c r="H21" i="6"/>
  <c r="R21" i="6" s="1"/>
  <c r="S21" i="6"/>
  <c r="C21" i="9"/>
  <c r="D21" i="9"/>
  <c r="G21" i="9"/>
  <c r="D7" i="74"/>
  <c r="D8" i="74"/>
  <c r="D16" i="6"/>
  <c r="H23" i="6"/>
  <c r="R23" i="6" s="1"/>
  <c r="S23" i="6"/>
  <c r="S25" i="6"/>
  <c r="H25" i="6"/>
  <c r="R25" i="6" s="1"/>
  <c r="K27" i="6"/>
  <c r="M19" i="6"/>
  <c r="C33" i="11"/>
  <c r="C39" i="11" s="1"/>
  <c r="C46" i="11" s="1"/>
  <c r="C45" i="11" s="1"/>
  <c r="C19" i="69"/>
  <c r="C20" i="69" s="1"/>
  <c r="C28" i="69" s="1"/>
  <c r="C27" i="69" s="1"/>
  <c r="D37" i="69"/>
  <c r="C37" i="69" s="1"/>
  <c r="C33" i="69" s="1"/>
  <c r="C42" i="69" s="1"/>
  <c r="C16" i="12"/>
  <c r="C21" i="12" s="1"/>
  <c r="C19" i="68"/>
  <c r="C24" i="68" s="1"/>
  <c r="D37" i="68"/>
  <c r="C37" i="68" s="1"/>
  <c r="C33" i="68" s="1"/>
  <c r="C39" i="68" s="1"/>
  <c r="C46" i="68" s="1"/>
  <c r="C45" i="68" s="1"/>
  <c r="G42" i="35"/>
  <c r="H42" i="35" s="1"/>
  <c r="AB7" i="21"/>
  <c r="T48" i="21" s="1"/>
  <c r="G48" i="21" s="1"/>
  <c r="U7" i="21"/>
  <c r="R39" i="35"/>
  <c r="E38" i="35"/>
  <c r="I40" i="36"/>
  <c r="J40" i="36" s="1"/>
  <c r="R49" i="21"/>
  <c r="E48" i="21"/>
  <c r="AB7" i="36"/>
  <c r="T36" i="36" s="1"/>
  <c r="G36" i="36" s="1"/>
  <c r="U7" i="36"/>
  <c r="C50" i="34"/>
  <c r="B2" i="34" s="1"/>
  <c r="B3" i="34" s="1"/>
  <c r="C49" i="34"/>
  <c r="I52" i="37"/>
  <c r="I53" i="34"/>
  <c r="J53" i="34" s="1"/>
  <c r="I54" i="34"/>
  <c r="J54" i="34" s="1"/>
  <c r="W7" i="35"/>
  <c r="AC7" i="35"/>
  <c r="V38" i="35" s="1"/>
  <c r="I38" i="35" s="1"/>
  <c r="G43" i="35" s="1"/>
  <c r="H43" i="35" s="1"/>
  <c r="E54" i="34"/>
  <c r="F54" i="34" s="1"/>
  <c r="E53" i="34"/>
  <c r="F53" i="34" s="1"/>
  <c r="R37" i="36"/>
  <c r="E36" i="36"/>
  <c r="W7" i="21"/>
  <c r="AC7" i="21"/>
  <c r="V48" i="21" s="1"/>
  <c r="I48" i="21" s="1"/>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42" i="11"/>
  <c r="C38" i="67"/>
  <c r="C34" i="9"/>
  <c r="C38" i="15"/>
  <c r="C66" i="67"/>
  <c r="C60" i="67"/>
  <c r="C23" i="67"/>
  <c r="C29" i="67" s="1"/>
  <c r="B6" i="76"/>
  <c r="M27" i="6" l="1"/>
  <c r="I19" i="6"/>
  <c r="I6" i="6"/>
  <c r="C24" i="69"/>
  <c r="C43" i="11"/>
  <c r="C42" i="68"/>
  <c r="C41" i="68" s="1"/>
  <c r="C49" i="68" s="1"/>
  <c r="C51" i="68" s="1"/>
  <c r="C43" i="68"/>
  <c r="C25" i="69"/>
  <c r="C22" i="12"/>
  <c r="C27" i="12" s="1"/>
  <c r="C25" i="12" s="1"/>
  <c r="C20" i="68"/>
  <c r="C25" i="68" s="1"/>
  <c r="C39" i="69"/>
  <c r="C43" i="69" s="1"/>
  <c r="I52" i="21"/>
  <c r="J52" i="21" s="1"/>
  <c r="I53" i="21"/>
  <c r="J53" i="21" s="1"/>
  <c r="E40" i="36"/>
  <c r="F40" i="36" s="1"/>
  <c r="E41" i="36"/>
  <c r="F41" i="36" s="1"/>
  <c r="C36" i="36"/>
  <c r="C37" i="36"/>
  <c r="B2" i="36" s="1"/>
  <c r="B3" i="36" s="1"/>
  <c r="E52" i="21"/>
  <c r="F52" i="21" s="1"/>
  <c r="E53" i="21"/>
  <c r="F53" i="21" s="1"/>
  <c r="I41" i="36"/>
  <c r="J41" i="36" s="1"/>
  <c r="E43" i="35"/>
  <c r="F43" i="35" s="1"/>
  <c r="E42" i="35"/>
  <c r="F42" i="35" s="1"/>
  <c r="I43" i="35"/>
  <c r="J43" i="35" s="1"/>
  <c r="I42" i="35"/>
  <c r="J42" i="35" s="1"/>
  <c r="J52" i="37"/>
  <c r="G40" i="36"/>
  <c r="H40" i="36" s="1"/>
  <c r="G41" i="36"/>
  <c r="H41" i="36" s="1"/>
  <c r="C48" i="21"/>
  <c r="C49" i="21"/>
  <c r="B2" i="21" s="1"/>
  <c r="B3" i="21" s="1"/>
  <c r="C38" i="35"/>
  <c r="C39" i="35"/>
  <c r="B2" i="35" s="1"/>
  <c r="B3" i="35" s="1"/>
  <c r="G52" i="21"/>
  <c r="H52" i="21" s="1"/>
  <c r="G53" i="21"/>
  <c r="H53" i="21" s="1"/>
  <c r="C22" i="68"/>
  <c r="B2" i="76"/>
  <c r="B3" i="76" s="1"/>
  <c r="B3" i="43"/>
  <c r="J14" i="15"/>
  <c r="C57" i="15"/>
  <c r="C36" i="15"/>
  <c r="C33" i="15"/>
  <c r="C31" i="15" s="1"/>
  <c r="C13" i="15"/>
  <c r="Q49" i="15"/>
  <c r="J19" i="15"/>
  <c r="J17" i="15" s="1"/>
  <c r="J59" i="15"/>
  <c r="J60" i="15" s="1"/>
  <c r="C41" i="11"/>
  <c r="C49" i="11" s="1"/>
  <c r="C51" i="11" s="1"/>
  <c r="C22" i="69"/>
  <c r="C31" i="69" s="1"/>
  <c r="C22" i="11"/>
  <c r="C31" i="11" s="1"/>
  <c r="C41" i="69"/>
  <c r="C36" i="67"/>
  <c r="C33" i="67"/>
  <c r="C31" i="67" s="1"/>
  <c r="J14" i="67"/>
  <c r="C13" i="67"/>
  <c r="J19" i="67"/>
  <c r="J17" i="67" s="1"/>
  <c r="C57" i="67"/>
  <c r="Q49" i="67"/>
  <c r="J59" i="67"/>
  <c r="J60" i="67" s="1"/>
  <c r="I27" i="6" l="1"/>
  <c r="S19" i="6"/>
  <c r="S27" i="6" s="1"/>
  <c r="H19" i="6"/>
  <c r="C46" i="69"/>
  <c r="C45" i="69" s="1"/>
  <c r="C49" i="69" s="1"/>
  <c r="C51" i="69" s="1"/>
  <c r="C52" i="69" s="1"/>
  <c r="B2" i="69" s="1"/>
  <c r="B3" i="69" s="1"/>
  <c r="C28" i="68"/>
  <c r="C27" i="68" s="1"/>
  <c r="C30" i="12"/>
  <c r="C28" i="12" s="1"/>
  <c r="C32" i="12" s="1"/>
  <c r="B2" i="12" s="1"/>
  <c r="B3" i="12" s="1"/>
  <c r="C31" i="68"/>
  <c r="K52" i="37"/>
  <c r="C52" i="68"/>
  <c r="B2" i="68" s="1"/>
  <c r="B3" i="68" s="1"/>
  <c r="C52" i="11"/>
  <c r="B2" i="11" s="1"/>
  <c r="B3" i="11"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L51" i="67"/>
  <c r="R19" i="6" l="1"/>
  <c r="H27" i="6"/>
  <c r="L52" i="37"/>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R27" i="6" l="1"/>
  <c r="R6" i="1"/>
  <c r="R16" i="1" s="1"/>
  <c r="M52" i="37"/>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N52" i="37" l="1"/>
  <c r="Q66" i="15"/>
  <c r="Q75" i="15" s="1"/>
  <c r="Q57" i="15"/>
  <c r="Q62" i="15" s="1"/>
  <c r="Q66" i="67"/>
  <c r="Q75" i="67" s="1"/>
  <c r="Q57" i="67"/>
  <c r="Q62" i="67" s="1"/>
  <c r="B2" i="67"/>
  <c r="B3" i="67"/>
  <c r="O52" i="37" l="1"/>
  <c r="J7" i="37" s="1"/>
  <c r="H7" i="37"/>
  <c r="F7" i="37"/>
  <c r="AA7" i="37" l="1"/>
  <c r="R42" i="37" s="1"/>
  <c r="S7" i="37"/>
  <c r="AB7" i="37"/>
  <c r="T42" i="37" s="1"/>
  <c r="G42" i="37" s="1"/>
  <c r="U7" i="37"/>
  <c r="AC7" i="37"/>
  <c r="V42" i="37" s="1"/>
  <c r="I42" i="37" s="1"/>
  <c r="W7" i="37"/>
  <c r="I47" i="37" l="1"/>
  <c r="J47" i="37" s="1"/>
  <c r="I46" i="37"/>
  <c r="J46" i="37" s="1"/>
  <c r="G46" i="37"/>
  <c r="H46" i="37" s="1"/>
  <c r="G47" i="37"/>
  <c r="H47" i="37" s="1"/>
  <c r="R43" i="37"/>
  <c r="E42" i="37"/>
  <c r="C42" i="37" l="1"/>
  <c r="C43" i="37"/>
  <c r="B2" i="37" s="1"/>
  <c r="B3" i="37" s="1"/>
  <c r="E47" i="37"/>
  <c r="F47" i="37" s="1"/>
  <c r="E46" i="37"/>
  <c r="F46" i="37" s="1"/>
  <c r="F14" i="74"/>
  <c r="E14" i="74"/>
  <c r="C104" i="9"/>
  <c r="H4" i="52"/>
  <c r="N61" i="9"/>
  <c r="N60" i="9"/>
  <c r="C105" i="9"/>
  <c r="I4" i="52"/>
  <c r="D52" i="9"/>
  <c r="D53" i="9"/>
  <c r="P57" i="9"/>
  <c r="N58" i="9"/>
  <c r="D5" i="74"/>
  <c r="D14" i="74"/>
  <c r="B5" i="74"/>
  <c r="C5" i="74"/>
  <c r="D6" i="74"/>
  <c r="C6" i="74"/>
  <c r="E81" i="9"/>
  <c r="N59" i="9"/>
  <c r="B48" i="72"/>
  <c r="C93" i="9"/>
  <c r="C86" i="9"/>
  <c r="E4" i="52"/>
  <c r="B32" i="72"/>
  <c r="C78" i="9"/>
  <c r="C73" i="9"/>
  <c r="L68" i="9"/>
  <c r="M68" i="9"/>
  <c r="C81" i="9"/>
  <c r="D9" i="52"/>
  <c r="L67" i="9"/>
  <c r="M67" i="9"/>
  <c r="E97" i="9"/>
  <c r="H119" i="9"/>
  <c r="H5" i="52"/>
  <c r="L65" i="9"/>
  <c r="M65" i="9"/>
  <c r="D123" i="9"/>
  <c r="D8" i="52"/>
  <c r="B21" i="72"/>
  <c r="B53" i="72"/>
  <c r="D54" i="9"/>
  <c r="L66" i="9"/>
  <c r="M66" i="9"/>
  <c r="B49" i="72"/>
  <c r="M55" i="9"/>
  <c r="M48" i="9"/>
  <c r="B22" i="72"/>
  <c r="B31" i="72"/>
  <c r="F5" i="52"/>
  <c r="D59" i="9"/>
  <c r="C64" i="9"/>
  <c r="C63" i="9"/>
  <c r="C67" i="9"/>
  <c r="C68" i="9"/>
  <c r="D6" i="53"/>
  <c r="D5" i="53"/>
  <c r="B20" i="72"/>
  <c r="F119" i="9"/>
  <c r="H102" i="9"/>
  <c r="D7" i="53"/>
  <c r="C96" i="9"/>
  <c r="E96" i="9"/>
  <c r="L64" i="9"/>
  <c r="M64" i="9"/>
  <c r="M54" i="9"/>
  <c r="D122" i="9"/>
  <c r="G14" i="74"/>
  <c r="B6" i="74"/>
  <c r="M69" i="9"/>
  <c r="N69" i="9"/>
  <c r="C72" i="9"/>
  <c r="C79" i="9"/>
  <c r="C80" i="9"/>
  <c r="E80" i="9"/>
  <c r="D4" i="52"/>
  <c r="B47" i="72"/>
  <c r="B30" i="72"/>
  <c r="D13" i="53"/>
  <c r="D14" i="53"/>
  <c r="F4" i="52"/>
  <c r="B51" i="72"/>
  <c r="F118" i="9"/>
  <c r="G118" i="9"/>
  <c r="G4" i="52"/>
  <c r="B52" i="72"/>
  <c r="E118" i="9"/>
  <c r="D118" i="9"/>
  <c r="D119" i="9"/>
  <c r="D5" i="52"/>
  <c r="D55" i="9"/>
  <c r="M53" i="9"/>
  <c r="N57" i="9"/>
  <c r="D45" i="9"/>
  <c r="C85" i="9"/>
  <c r="C95" i="9"/>
  <c r="C97" i="9"/>
  <c r="D58" i="9"/>
  <c r="D56" i="9"/>
  <c r="M49" i="9"/>
  <c r="L63" i="9"/>
  <c r="M63"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<sst xmlns="http://schemas.openxmlformats.org/spreadsheetml/2006/main" count="7293" uniqueCount="3089">
  <si>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</si>
  <si>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</si>
  <si>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</si>
  <si>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</si>
  <si>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</si>
  <si>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</si>
  <si>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</si>
  <si>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</si>
  <si>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</si>
  <si>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</si>
  <si>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</si>
  <si>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</si>
  <si>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</si>
  <si>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</si>
  <si>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</si>
  <si>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</si>
  <si>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</si>
  <si>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</si>
  <si>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</si>
  <si>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</si>
  <si>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</si>
  <si>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</si>
  <si>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</si>
  <si>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</si>
  <si>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</si>
  <si>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</si>
  <si>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</si>
  <si>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</si>
  <si>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</si>
  <si>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</si>
  <si>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</si>
  <si>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</si>
  <si>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</si>
  <si>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</si>
  <si>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</si>
  <si>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</si>
  <si>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</si>
  <si>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</si>
  <si>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</si>
  <si>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</si>
  <si>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</si>
  <si>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</si>
  <si>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</si>
  <si>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</si>
  <si>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</si>
  <si>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</si>
  <si>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</si>
  <si>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</si>
  <si>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</si>
  <si>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</si>
  <si>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</si>
  <si>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</si>
  <si>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</si>
  <si>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</si>
  <si>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</si>
  <si>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</si>
  <si>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</si>
  <si>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</si>
  <si>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</si>
  <si>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</si>
  <si>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</si>
  <si>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</si>
  <si>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</si>
  <si>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</si>
  <si>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</si>
  <si>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</si>
  <si>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</si>
  <si>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</si>
  <si>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</si>
  <si>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</si>
  <si>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</si>
  <si>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</si>
  <si>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</si>
  <si>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</si>
  <si>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</si>
  <si>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</si>
  <si>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</si>
  <si>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</si>
  <si>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</si>
  <si>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</si>
  <si>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</si>
  <si>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</si>
  <si>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</si>
  <si>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</si>
  <si>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</si>
  <si>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</si>
  <si>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</si>
  <si>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</si>
  <si>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</si>
  <si>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</si>
  <si>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</si>
  <si>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</si>
  <si>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</si>
  <si>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</si>
  <si>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</si>
  <si>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</si>
  <si>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</si>
  <si>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</si>
  <si>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</si>
  <si>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</si>
  <si>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</si>
  <si>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</si>
  <si>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</si>
  <si>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</si>
  <si>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</si>
  <si>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</si>
  <si>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</si>
  <si>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</si>
  <si>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</si>
  <si>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</si>
  <si>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</si>
  <si>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</si>
  <si>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</si>
  <si>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</si>
  <si>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</si>
  <si>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</si>
  <si>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</si>
  <si>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</si>
  <si>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</si>
  <si>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</si>
  <si>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</si>
  <si>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</si>
  <si>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</si>
  <si>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</si>
  <si>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</si>
  <si>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</si>
  <si>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</si>
  <si>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</si>
  <si>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</si>
  <si>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</si>
  <si>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</si>
  <si>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</si>
  <si>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</si>
  <si>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</si>
  <si>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</si>
  <si>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</si>
  <si>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</si>
  <si>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</si>
  <si>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</si>
  <si>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</si>
  <si>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</si>
  <si>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</si>
  <si>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</si>
  <si>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</si>
  <si>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</si>
  <si>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</si>
  <si>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</si>
  <si>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</si>
  <si>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</si>
  <si>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</si>
  <si>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</si>
  <si>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</si>
  <si>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</si>
  <si>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</si>
  <si>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</si>
  <si>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</si>
  <si>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</si>
  <si>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</si>
  <si>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</si>
  <si>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</si>
  <si>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</si>
  <si>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</si>
  <si>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</si>
  <si>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</si>
  <si>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</si>
  <si>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</si>
  <si>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</si>
  <si>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</si>
  <si>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</si>
  <si>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</si>
  <si>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</si>
  <si>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</si>
  <si>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</si>
  <si>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</si>
  <si>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</si>
  <si>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</si>
  <si>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</si>
  <si>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</si>
  <si>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</si>
  <si>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</si>
  <si>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</si>
  <si>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</si>
  <si>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</si>
  <si>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</si>
  <si>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</si>
  <si>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</si>
  <si>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</si>
  <si>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</si>
  <si>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</si>
  <si>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</si>
  <si>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</si>
  <si>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</si>
  <si>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</si>
  <si>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</si>
  <si>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</si>
  <si>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</si>
  <si>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</si>
  <si>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</si>
  <si>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</si>
  <si>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</si>
  <si>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</si>
  <si>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</si>
  <si>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</si>
  <si>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</si>
  <si>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</si>
  <si>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</si>
  <si>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</si>
  <si>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</si>
  <si>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</si>
  <si>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</si>
  <si>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</si>
  <si>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</si>
  <si>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</si>
  <si>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</si>
  <si>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</si>
  <si>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</si>
  <si>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</si>
  <si>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</si>
  <si>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</si>
  <si>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</si>
  <si>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</si>
  <si>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</si>
  <si>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</si>
  <si>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</si>
  <si>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</si>
  <si>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</si>
  <si>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</si>
  <si>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</si>
  <si>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</si>
  <si>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</si>
  <si>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</si>
  <si>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</si>
  <si>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</si>
  <si>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</si>
  <si>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</si>
  <si>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</si>
  <si>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</si>
  <si>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</si>
  <si>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</si>
  <si>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</si>
  <si>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</si>
  <si>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</si>
  <si>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</si>
  <si>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</si>
  <si>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</si>
  <si>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</si>
  <si>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</si>
  <si>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</si>
  <si>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</si>
  <si>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</si>
  <si>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</si>
  <si>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</si>
  <si>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</si>
  <si>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</si>
  <si>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</si>
  <si>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</si>
  <si>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</si>
  <si>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</si>
  <si>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</si>
  <si>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</si>
  <si>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</si>
  <si>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</si>
  <si>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</si>
  <si>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</si>
  <si>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</si>
  <si>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</si>
  <si>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</si>
  <si>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</si>
  <si>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</si>
  <si>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</si>
  <si>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</si>
  <si>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</si>
  <si>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</si>
  <si>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</si>
  <si>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</si>
  <si>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</si>
  <si>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</si>
  <si>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</si>
  <si>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</si>
  <si>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</si>
  <si>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</si>
  <si>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</si>
  <si>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</si>
  <si>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</si>
  <si>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</si>
  <si>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</si>
  <si>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</si>
  <si>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</si>
  <si>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</si>
  <si>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</si>
  <si>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</si>
  <si>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</si>
  <si>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</si>
  <si>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</si>
  <si>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</si>
  <si>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</si>
  <si>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</si>
  <si>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</si>
  <si>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</si>
  <si>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</si>
  <si>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</si>
  <si>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</si>
  <si>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</si>
  <si>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</si>
  <si>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</si>
  <si>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</si>
  <si>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</si>
  <si>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</si>
  <si>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</si>
  <si>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</si>
  <si>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</si>
  <si>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</si>
  <si>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</si>
  <si>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</si>
  <si>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</si>
  <si>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</si>
  <si>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</si>
  <si>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</si>
  <si>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</si>
  <si>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</si>
  <si>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</si>
  <si>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</si>
  <si>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</si>
  <si>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</si>
  <si>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</si>
  <si>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</si>
  <si>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</si>
  <si>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</si>
  <si>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</si>
  <si>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</si>
  <si>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</si>
  <si>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</si>
  <si>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</si>
  <si>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</si>
  <si>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</si>
  <si>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</si>
  <si>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</si>
  <si>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</si>
  <si>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</si>
  <si>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</si>
  <si>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</si>
  <si>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</si>
  <si>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</si>
  <si>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</si>
  <si>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</si>
  <si>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</si>
  <si>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</si>
  <si>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</si>
  <si>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</si>
  <si>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</si>
  <si>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</si>
  <si>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</si>
  <si>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</si>
  <si>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</si>
  <si>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</si>
  <si>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</si>
  <si>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</si>
  <si>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</si>
  <si>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</si>
  <si>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</si>
  <si>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</si>
  <si>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</si>
  <si>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</si>
  <si>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</si>
  <si>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</si>
  <si>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</si>
  <si>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</si>
  <si>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</si>
  <si>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</si>
  <si>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</si>
  <si>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</si>
  <si>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</si>
  <si>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</si>
  <si>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</si>
  <si>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</si>
  <si>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</si>
  <si>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</si>
  <si>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</si>
  <si>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</si>
  <si>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</si>
  <si>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</si>
  <si>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</si>
  <si>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</si>
  <si>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</si>
  <si>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</si>
  <si>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</si>
  <si>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</si>
  <si>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</si>
  <si>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</si>
  <si>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</si>
  <si>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</si>
  <si>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</si>
  <si>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</si>
  <si>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</si>
  <si>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</si>
  <si>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</si>
  <si>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</si>
  <si>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</si>
  <si>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</si>
  <si>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</si>
  <si>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</si>
  <si>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</si>
  <si>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</si>
  <si>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</si>
  <si>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</si>
  <si>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</si>
  <si>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</si>
  <si>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</si>
  <si>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</si>
  <si>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</si>
  <si>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</si>
  <si>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</si>
  <si>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</si>
  <si>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</si>
  <si>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</si>
  <si>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</si>
  <si>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</si>
  <si>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</si>
  <si>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</si>
  <si>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</si>
  <si>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</si>
  <si>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</si>
  <si>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</si>
  <si>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</si>
  <si>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</si>
  <si>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</si>
  <si>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</si>
  <si>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</si>
  <si>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</si>
  <si>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</si>
  <si>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</si>
  <si>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</si>
  <si>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</si>
  <si>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</si>
  <si>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</si>
  <si>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</si>
  <si>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</si>
  <si>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</si>
  <si>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</si>
  <si>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</si>
  <si>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</si>
  <si>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</si>
  <si>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</si>
  <si>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</si>
  <si>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</si>
  <si>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</si>
  <si>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</si>
  <si>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</si>
  <si>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</si>
  <si>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</si>
  <si>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</si>
  <si>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</si>
  <si>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</si>
  <si>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</si>
  <si>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</si>
  <si>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</si>
  <si>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</si>
  <si>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</si>
  <si>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</si>
  <si>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</si>
  <si>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</si>
  <si>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</si>
  <si>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</si>
  <si>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</si>
  <si>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</si>
  <si>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</si>
  <si>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</si>
  <si>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</si>
  <si>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</si>
  <si>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</si>
  <si>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</si>
  <si>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</si>
  <si>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</si>
  <si>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</si>
  <si>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</si>
  <si>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</si>
  <si>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</si>
  <si>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</si>
  <si>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</si>
  <si>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</si>
  <si>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</si>
  <si>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</si>
  <si>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</si>
  <si>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</si>
  <si>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</si>
  <si>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</si>
  <si>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</si>
  <si>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</si>
  <si>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</si>
  <si>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</si>
  <si>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</si>
  <si>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</si>
  <si>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</si>
  <si>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</si>
  <si>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</si>
  <si>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</si>
  <si>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</si>
  <si>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</si>
  <si>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</si>
  <si>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</si>
  <si>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</si>
  <si>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</si>
  <si>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</si>
  <si>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</si>
  <si>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</si>
  <si>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</si>
  <si>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</si>
  <si>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</si>
  <si>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</si>
  <si>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</si>
  <si>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</si>
  <si>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</si>
  <si>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</si>
  <si>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</si>
  <si>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</si>
  <si>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</si>
  <si>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</si>
  <si>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</si>
  <si>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</si>
  <si>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</si>
  <si>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</si>
  <si>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</si>
  <si>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</si>
  <si>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</si>
  <si>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</si>
  <si>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</si>
  <si>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</si>
  <si>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</si>
  <si>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</si>
  <si>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</si>
  <si>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</si>
  <si>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</si>
  <si>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</si>
  <si>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</si>
  <si>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</si>
  <si>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</si>
  <si>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</si>
  <si>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</si>
  <si>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</si>
  <si>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</si>
  <si>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</si>
  <si>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</si>
  <si>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</si>
  <si>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</si>
  <si>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</si>
  <si>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</si>
  <si>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</si>
  <si>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</si>
  <si>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</si>
  <si>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</si>
  <si>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</si>
  <si>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</si>
  <si>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</si>
  <si>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</si>
  <si>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</si>
  <si>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</si>
  <si>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</si>
  <si>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</si>
  <si>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</si>
  <si>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</si>
  <si>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</si>
  <si>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</si>
  <si>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</si>
  <si>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</si>
  <si>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</si>
  <si>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</si>
  <si>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</si>
  <si>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</si>
  <si>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</si>
  <si>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</si>
  <si>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</si>
  <si>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</si>
  <si>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</si>
  <si>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</si>
  <si>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</si>
  <si>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</si>
  <si>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</si>
  <si>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</si>
  <si>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</si>
  <si>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</si>
  <si>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</si>
  <si>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</si>
  <si>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</si>
  <si>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</si>
  <si>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</si>
  <si>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</si>
  <si>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</si>
  <si>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</si>
  <si>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</si>
  <si>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</si>
  <si>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</si>
  <si>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</si>
  <si>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</si>
  <si>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</si>
  <si>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</si>
  <si>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</si>
  <si>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</si>
  <si>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</si>
  <si>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</si>
  <si>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</si>
  <si>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</si>
  <si>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</si>
  <si>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</si>
  <si>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</si>
  <si>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</si>
  <si>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</si>
  <si>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</si>
  <si>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</si>
  <si>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</si>
  <si>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</si>
  <si>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</si>
  <si>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</si>
  <si>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</si>
  <si>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</si>
  <si>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</si>
  <si>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</si>
  <si>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</si>
  <si>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</si>
  <si>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</si>
  <si>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</si>
  <si>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</si>
  <si>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</si>
  <si>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</si>
  <si>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</si>
  <si>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</si>
  <si>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</si>
  <si>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</si>
  <si>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</si>
  <si>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</si>
  <si>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</si>
  <si>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</si>
  <si>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</si>
  <si>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</si>
  <si>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</si>
  <si>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</si>
  <si>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</si>
  <si>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</si>
  <si>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</si>
  <si>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</si>
  <si>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</si>
  <si>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</si>
  <si>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</si>
  <si>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</si>
  <si>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</si>
  <si>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</si>
  <si>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</si>
  <si>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</si>
  <si>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</si>
  <si>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</si>
  <si>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</si>
  <si>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</si>
  <si>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</si>
  <si>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</si>
  <si>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</si>
  <si>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</si>
  <si>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</si>
  <si>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</si>
  <si>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</si>
  <si>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</si>
  <si>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</si>
  <si>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</si>
  <si>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</si>
  <si>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</si>
  <si>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</si>
  <si>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</si>
  <si>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</si>
  <si>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</si>
  <si>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</si>
  <si>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</si>
  <si>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</si>
  <si>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</si>
  <si>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</si>
  <si>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</si>
  <si>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</si>
  <si>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</si>
  <si>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</si>
  <si>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</si>
  <si>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</si>
  <si>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</si>
  <si>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</si>
  <si>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</si>
  <si>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</si>
  <si>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</si>
  <si>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</si>
  <si>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</si>
  <si>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</si>
  <si>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</si>
  <si>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</si>
  <si>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</si>
  <si>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</si>
  <si>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</si>
  <si>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</si>
  <si>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</si>
  <si>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</si>
  <si>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</si>
  <si>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</si>
  <si>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</si>
  <si>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</si>
  <si>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</si>
  <si>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</si>
  <si>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</si>
  <si>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</si>
  <si>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</si>
  <si>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</si>
  <si>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</si>
  <si>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</si>
  <si>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</si>
  <si>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</si>
  <si>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</si>
  <si>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</si>
  <si>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</si>
  <si>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</si>
  <si>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</si>
  <si>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</si>
  <si>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</si>
  <si>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</si>
  <si>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</si>
  <si>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</si>
  <si>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</si>
  <si>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</si>
  <si>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</si>
  <si>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</si>
  <si>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</si>
  <si>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</si>
  <si>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</si>
  <si>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</si>
  <si>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</si>
  <si>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</si>
  <si>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</si>
  <si>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</si>
  <si>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</si>
  <si>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</si>
  <si>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</si>
  <si>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</si>
  <si>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</si>
  <si>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</si>
  <si>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</si>
  <si>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</si>
  <si>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</si>
  <si>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</si>
  <si>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</si>
  <si>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</si>
  <si>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</si>
  <si>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</si>
  <si>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</si>
  <si>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</si>
  <si>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</si>
  <si>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</si>
  <si>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</si>
  <si>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</si>
  <si>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</si>
  <si>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</si>
  <si>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</si>
  <si>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</si>
  <si>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</si>
  <si>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</si>
  <si>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</si>
  <si>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</si>
  <si>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</si>
  <si>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</si>
  <si>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</si>
  <si>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</si>
  <si>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</si>
  <si>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</si>
  <si>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</si>
  <si>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</si>
  <si>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</si>
  <si>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</si>
  <si>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</si>
  <si>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</si>
  <si>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</si>
  <si>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</si>
  <si>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</si>
  <si>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</si>
  <si>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</si>
  <si>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</si>
  <si>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</si>
  <si>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</si>
  <si>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</si>
  <si>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</si>
  <si>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</si>
  <si>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</si>
  <si>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</si>
  <si>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</si>
  <si>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</si>
  <si>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</si>
  <si>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</si>
  <si>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</si>
  <si>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</si>
  <si>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</si>
  <si>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</si>
  <si>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</si>
  <si>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</si>
  <si>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</si>
  <si>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</si>
  <si>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</si>
  <si>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</si>
  <si>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</si>
  <si>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</si>
  <si>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</si>
  <si>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</si>
  <si>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</si>
  <si>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</si>
  <si>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</si>
  <si>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</si>
  <si>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</si>
  <si>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</si>
  <si>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</si>
  <si>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</si>
  <si>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</si>
  <si>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</si>
  <si>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</si>
  <si>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</si>
  <si>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</si>
  <si>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</si>
  <si>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</si>
  <si>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</si>
  <si>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</si>
  <si>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</si>
  <si>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</si>
  <si>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</si>
  <si>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</si>
  <si>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</si>
  <si>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</si>
  <si>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</si>
  <si>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</si>
  <si>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</si>
  <si>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</si>
  <si>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</si>
  <si>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</si>
  <si>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</si>
  <si>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</si>
  <si>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</si>
  <si>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</si>
  <si>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</si>
  <si>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</si>
  <si>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</si>
  <si>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</si>
  <si>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</si>
  <si>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</si>
  <si>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</si>
  <si>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</si>
  <si>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</si>
  <si>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</si>
  <si>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</si>
  <si>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</si>
  <si>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</si>
  <si>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</si>
  <si>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</si>
  <si>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</si>
  <si>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</si>
  <si>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</si>
  <si>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</si>
  <si>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</si>
  <si>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</si>
  <si>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</si>
  <si>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</si>
  <si>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</si>
  <si>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</si>
  <si>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</si>
  <si>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</si>
  <si>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</si>
  <si>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</si>
  <si>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</si>
  <si>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</si>
  <si>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</si>
  <si>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</si>
  <si>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</si>
  <si>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</si>
  <si>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</si>
  <si>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</si>
  <si>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</si>
  <si>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</si>
  <si>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</si>
  <si>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</si>
  <si>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</si>
  <si>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</si>
  <si>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</si>
  <si>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</si>
  <si>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</si>
  <si>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</si>
  <si>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</si>
  <si>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</si>
  <si>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</si>
  <si>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</si>
  <si>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</si>
  <si>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</si>
  <si>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</si>
  <si>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</si>
  <si>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</si>
  <si>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</si>
  <si>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</si>
  <si>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</si>
  <si>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</si>
  <si>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</si>
  <si>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</si>
  <si>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</si>
  <si>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</si>
  <si>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</si>
  <si>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</si>
  <si>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</si>
  <si>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</si>
  <si>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</si>
  <si>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</si>
  <si>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</si>
  <si>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</si>
  <si>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</si>
  <si>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</si>
  <si>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</si>
  <si>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</si>
  <si>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</si>
  <si>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</si>
  <si>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</si>
  <si>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</si>
  <si>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</si>
  <si>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</si>
  <si>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</si>
  <si>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</si>
  <si>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</si>
  <si>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</si>
  <si>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</si>
  <si>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</si>
  <si>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</si>
  <si>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</si>
  <si>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</si>
  <si>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</si>
  <si>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</si>
  <si>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</si>
  <si>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</si>
  <si>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</si>
  <si>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</si>
  <si>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</si>
  <si>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</si>
  <si>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</si>
  <si>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</si>
  <si>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</si>
  <si>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</si>
  <si>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</si>
  <si>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</si>
  <si>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</si>
  <si>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</si>
  <si>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</si>
  <si>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</si>
  <si>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</si>
  <si>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</si>
  <si>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</si>
  <si>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</si>
  <si>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</si>
  <si>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</si>
  <si>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</si>
  <si>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</si>
  <si>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</si>
  <si>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</si>
  <si>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</si>
  <si>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</si>
  <si>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</si>
  <si>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</si>
  <si>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</si>
  <si>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</si>
  <si>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</si>
  <si>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</si>
  <si>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</si>
  <si>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</si>
  <si>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</si>
  <si>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</si>
  <si>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</si>
  <si>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</si>
  <si>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</si>
  <si>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</si>
  <si>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</si>
  <si>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</si>
  <si>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</si>
  <si>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</si>
  <si>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</si>
  <si>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</si>
  <si>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</si>
  <si>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</si>
  <si>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</si>
  <si>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</si>
  <si>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</si>
  <si>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</si>
  <si>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</si>
  <si>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</si>
  <si>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</si>
  <si>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</si>
  <si>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</si>
  <si>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</si>
  <si>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</si>
  <si>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</si>
  <si>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</si>
  <si>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</si>
  <si>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</si>
  <si>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</si>
  <si>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</si>
  <si>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</si>
  <si>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</si>
  <si>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</si>
  <si>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</si>
  <si>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</si>
  <si>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</si>
  <si>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</si>
  <si>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</si>
  <si>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</si>
  <si>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</si>
  <si>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</si>
  <si>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</si>
  <si>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</si>
  <si>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</si>
  <si>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</si>
  <si>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</si>
  <si>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</si>
  <si>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</si>
  <si>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</si>
  <si>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</si>
  <si>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</si>
  <si>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</si>
  <si>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</si>
  <si>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</si>
  <si>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</si>
  <si>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</si>
  <si>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</si>
  <si>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</si>
  <si>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</si>
  <si>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</si>
  <si>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</si>
  <si>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</si>
  <si>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</si>
  <si>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</si>
  <si>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</si>
  <si>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</si>
  <si>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</si>
  <si>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</si>
  <si>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</si>
  <si>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</si>
  <si>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</si>
  <si>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</si>
  <si>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</si>
  <si>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</si>
  <si>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</si>
  <si>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</si>
  <si>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</si>
  <si>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</si>
  <si>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</si>
  <si>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</si>
  <si>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</si>
  <si>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</si>
  <si>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</si>
  <si>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</si>
  <si>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</si>
  <si>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</si>
  <si>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</si>
  <si>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</si>
  <si>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</si>
  <si>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</si>
  <si>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</si>
  <si>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</si>
  <si>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</si>
  <si>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</si>
  <si>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</si>
  <si>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</si>
  <si>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</si>
  <si>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</si>
  <si>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</si>
  <si>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</si>
  <si>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</si>
  <si>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</si>
  <si>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</si>
  <si>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</si>
  <si>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</si>
  <si>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</si>
  <si>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</si>
  <si>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</si>
  <si>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</si>
  <si>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</si>
  <si>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</si>
  <si>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</si>
  <si>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</si>
  <si>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</si>
  <si>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</si>
  <si>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</si>
  <si>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</si>
  <si>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</si>
  <si>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</si>
  <si>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</si>
  <si>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</si>
  <si>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</si>
  <si>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</si>
  <si>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</si>
  <si>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</si>
  <si>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</si>
  <si>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</si>
  <si>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</si>
  <si>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</si>
  <si>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</si>
  <si>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</si>
  <si>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</si>
  <si>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</si>
  <si>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</si>
  <si>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</si>
  <si>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</si>
  <si>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</si>
  <si>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</si>
  <si>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</si>
  <si>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</si>
  <si>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</si>
  <si>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</si>
  <si>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</si>
  <si>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</si>
  <si>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</si>
  <si>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</si>
  <si>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</si>
  <si>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</si>
  <si>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</si>
  <si>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</si>
  <si>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</si>
  <si>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</si>
  <si>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</si>
  <si>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</si>
  <si>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</si>
  <si>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</si>
  <si>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</si>
  <si>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</si>
  <si>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</si>
  <si>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</si>
  <si>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</si>
  <si>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</si>
  <si>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</si>
  <si>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</si>
  <si>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</si>
  <si>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</si>
  <si>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</si>
  <si>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</si>
  <si>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</si>
  <si>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</si>
  <si>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</si>
  <si>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</si>
  <si>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</si>
  <si>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</si>
  <si>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</si>
  <si>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</si>
  <si>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</si>
  <si>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</si>
  <si>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</si>
  <si>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</si>
  <si>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</si>
  <si>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</si>
  <si>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</si>
  <si>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</si>
  <si>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</si>
  <si>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</si>
  <si>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</si>
  <si>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</si>
  <si>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</si>
  <si>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</si>
  <si>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</si>
  <si>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</si>
  <si>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</si>
  <si>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</si>
  <si>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</si>
  <si>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</si>
  <si>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</si>
  <si>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</si>
  <si>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</si>
  <si>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</si>
  <si>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</si>
  <si>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</si>
  <si>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</si>
  <si>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</si>
  <si>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</si>
  <si>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</si>
  <si>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</si>
  <si>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</si>
  <si>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</si>
  <si>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</si>
  <si>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</si>
  <si>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</si>
  <si>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</si>
  <si>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</si>
  <si>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</si>
  <si>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</si>
  <si>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</si>
  <si>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</si>
  <si>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</si>
  <si>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</si>
  <si>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</si>
  <si>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</si>
  <si>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</si>
  <si>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</si>
  <si>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</si>
  <si>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</si>
  <si>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</si>
  <si>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</si>
  <si>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</si>
  <si>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</si>
  <si>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</si>
  <si>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</si>
  <si>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</si>
  <si>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</si>
  <si>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</si>
  <si>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</si>
  <si>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</si>
  <si>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</si>
  <si>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</si>
  <si>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</si>
  <si>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</si>
  <si>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</si>
  <si>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</si>
  <si>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</si>
  <si>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</si>
  <si>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</si>
  <si>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</si>
  <si>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</si>
  <si>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</si>
  <si>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</si>
  <si>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</si>
  <si>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</si>
  <si>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</si>
  <si>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</si>
  <si>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</si>
  <si>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</si>
  <si>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</si>
  <si>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</si>
  <si>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</si>
  <si>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</si>
  <si>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</si>
  <si>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</si>
  <si>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</si>
  <si>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</si>
  <si>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</si>
  <si>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</si>
  <si>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</si>
  <si>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</si>
  <si>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</si>
  <si>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</si>
  <si>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</si>
  <si>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</si>
  <si>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</si>
  <si>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</si>
  <si>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</si>
  <si>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</si>
  <si>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</si>
  <si>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</si>
  <si>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</si>
  <si>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</si>
  <si>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</si>
  <si>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</si>
  <si>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</si>
  <si>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</si>
  <si>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</si>
  <si>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</si>
  <si>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</si>
  <si>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</si>
  <si>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</si>
  <si>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</si>
  <si>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</si>
  <si>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</si>
  <si>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</si>
  <si>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</si>
  <si>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</si>
  <si>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</si>
  <si>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</si>
  <si>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</si>
  <si>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</si>
  <si>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</si>
  <si>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</si>
  <si>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</si>
  <si>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</si>
  <si>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</si>
  <si>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</si>
  <si>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</si>
  <si>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</si>
  <si>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</si>
  <si>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</si>
  <si>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</si>
  <si>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</si>
  <si>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</si>
  <si>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</si>
  <si>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</si>
  <si>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</si>
  <si>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</si>
  <si>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</si>
  <si>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</si>
  <si>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</si>
  <si>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</si>
  <si>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</si>
  <si>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</si>
  <si>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</si>
  <si>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</si>
  <si>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</si>
  <si>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</si>
  <si>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</si>
  <si>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</si>
  <si>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</si>
  <si>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</si>
  <si>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</si>
  <si>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</si>
  <si>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</si>
  <si>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</si>
  <si>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</si>
  <si>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</si>
  <si>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</si>
  <si>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</si>
  <si>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</si>
  <si>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</si>
  <si>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</si>
  <si>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</si>
  <si>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</si>
  <si>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</si>
  <si>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</si>
  <si>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</si>
  <si>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</si>
  <si>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</si>
  <si>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</si>
  <si>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</si>
  <si>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</si>
  <si>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</si>
  <si>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</si>
  <si>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</si>
  <si>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</si>
  <si>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</si>
  <si>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</si>
  <si>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</si>
  <si>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</si>
  <si>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</si>
  <si>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</si>
  <si>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</si>
  <si>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</si>
  <si>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</si>
  <si>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</si>
  <si>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</si>
  <si>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</si>
  <si>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</si>
  <si>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</si>
  <si>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</si>
  <si>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</si>
  <si>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</si>
  <si>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</si>
  <si>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</si>
  <si>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</si>
  <si>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</si>
  <si>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</si>
  <si>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</si>
  <si>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</si>
  <si>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</si>
  <si>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</si>
  <si>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</si>
  <si>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</si>
  <si>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</si>
  <si>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</si>
  <si>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</si>
  <si>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</si>
  <si>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</si>
  <si>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</si>
  <si>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</si>
  <si>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</si>
  <si>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</si>
  <si>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</si>
  <si>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</si>
  <si>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</si>
  <si>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</si>
  <si>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</si>
  <si>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</si>
  <si>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</si>
  <si>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</si>
  <si>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</si>
  <si>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</si>
  <si>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</si>
  <si>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</si>
  <si>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</si>
  <si>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</si>
  <si>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</si>
  <si>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</si>
  <si>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</si>
  <si>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</si>
  <si>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</si>
  <si>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</si>
  <si>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</si>
  <si>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</si>
  <si>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</si>
  <si>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</si>
  <si>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</si>
  <si>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</si>
  <si>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</si>
  <si>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</si>
  <si>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</si>
  <si>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</si>
  <si>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</si>
  <si>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</si>
  <si>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</si>
  <si>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</si>
  <si>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</si>
  <si>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</si>
  <si>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</si>
  <si>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</si>
  <si>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</si>
  <si>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</si>
  <si>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</si>
  <si>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</si>
  <si>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</si>
  <si>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</si>
  <si>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</si>
  <si>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</si>
  <si>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</si>
  <si>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</si>
  <si>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</si>
  <si>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</si>
  <si>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</si>
  <si>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</si>
  <si>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</si>
  <si>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</si>
  <si>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</si>
  <si>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</si>
  <si>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</si>
  <si>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</si>
  <si>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</si>
  <si>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</si>
  <si>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</si>
  <si>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</si>
  <si>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</si>
  <si>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</si>
  <si>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</si>
  <si>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</si>
  <si>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</si>
  <si>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</si>
  <si>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</si>
  <si>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</si>
  <si>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</si>
  <si>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</si>
  <si>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</si>
  <si>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</si>
  <si>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</si>
  <si>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</si>
  <si>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</si>
  <si>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</si>
  <si>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</si>
  <si>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</si>
  <si>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</si>
  <si>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</si>
  <si>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</si>
  <si>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</si>
  <si>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</si>
  <si>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</si>
  <si>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</si>
  <si>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</si>
  <si>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</si>
  <si>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</si>
  <si>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</si>
  <si>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</si>
  <si>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</si>
  <si>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</si>
  <si>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</si>
  <si>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</si>
  <si>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</si>
  <si>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</si>
  <si>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</si>
  <si>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</si>
  <si>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</si>
  <si>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</si>
  <si>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</si>
  <si>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</si>
  <si>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</si>
  <si>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</si>
  <si>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</si>
  <si>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</si>
  <si>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</si>
  <si>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</si>
  <si>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</si>
  <si>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</si>
  <si>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</si>
  <si>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</si>
  <si>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</si>
  <si>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</si>
  <si>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</si>
  <si>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</si>
  <si>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</si>
  <si>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</si>
  <si>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</si>
  <si>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</si>
  <si>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</si>
  <si>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</si>
  <si>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</si>
  <si>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</si>
  <si>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</si>
  <si>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</si>
  <si>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</si>
  <si>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</si>
  <si>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</si>
  <si>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</si>
  <si>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</si>
  <si>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</si>
  <si>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</si>
  <si>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</si>
  <si>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</si>
  <si>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</si>
  <si>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</si>
  <si>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</si>
  <si>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</si>
  <si>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</si>
  <si>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</si>
  <si>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</si>
  <si>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</si>
  <si>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</si>
  <si>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</si>
  <si>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</si>
  <si>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</si>
  <si>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</si>
  <si>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</si>
  <si>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</si>
  <si>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</si>
  <si>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</si>
  <si>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</si>
  <si>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</si>
  <si>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</si>
  <si>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</si>
  <si>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</si>
  <si>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</si>
  <si>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</si>
  <si>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</si>
  <si>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</si>
  <si>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</si>
  <si>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</si>
  <si>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</si>
  <si>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</si>
  <si>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</si>
  <si>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</si>
  <si>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</si>
  <si>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</si>
  <si>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</si>
  <si>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</si>
  <si>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</si>
  <si>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</si>
  <si>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</si>
  <si>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</si>
  <si>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</si>
  <si>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</si>
  <si>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</si>
  <si>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</si>
  <si>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</si>
  <si>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</si>
  <si>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</si>
  <si>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</si>
  <si>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</si>
  <si>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</si>
  <si>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</si>
  <si>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</si>
  <si>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</si>
  <si>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</si>
  <si>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</si>
  <si>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</si>
  <si>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</si>
  <si>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</si>
  <si>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</si>
  <si>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</si>
  <si>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</si>
  <si>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</si>
  <si>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</si>
  <si>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</si>
  <si>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</si>
  <si>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</si>
  <si>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</si>
  <si>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</si>
  <si>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</si>
  <si>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</si>
  <si>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</si>
  <si>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</si>
  <si>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</si>
  <si>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</si>
  <si>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</si>
  <si>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</si>
  <si>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</si>
  <si>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</si>
  <si>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</si>
  <si>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</si>
  <si>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</si>
  <si>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</si>
  <si>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</si>
  <si>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</si>
  <si>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</si>
  <si>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</si>
  <si>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</si>
  <si>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</si>
  <si>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</si>
  <si>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</si>
  <si>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</si>
  <si>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</si>
  <si>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</si>
  <si>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</si>
  <si>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</si>
  <si>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</si>
  <si>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</si>
  <si>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</si>
  <si>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</si>
  <si>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</si>
  <si>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</si>
  <si>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</si>
  <si>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</si>
  <si>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</si>
  <si>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</si>
  <si>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</si>
  <si>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</si>
  <si>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</si>
  <si>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</si>
  <si>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</si>
  <si>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</si>
  <si>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</si>
  <si>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</si>
  <si>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</si>
  <si>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</si>
  <si>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</si>
  <si>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</si>
  <si>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</si>
  <si>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</si>
  <si>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</si>
  <si>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</si>
  <si>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</si>
  <si>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</si>
  <si>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</si>
  <si>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</si>
  <si>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</si>
  <si>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</si>
  <si>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</si>
  <si>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</si>
  <si>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</si>
  <si>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</si>
  <si>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</si>
  <si>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</si>
  <si>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</si>
  <si>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</si>
  <si>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</si>
  <si>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</si>
  <si>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</si>
  <si>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</si>
  <si>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</si>
  <si>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</si>
  <si>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</si>
  <si>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</si>
  <si>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</si>
  <si>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</si>
  <si>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</si>
  <si>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</si>
  <si>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</si>
  <si>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</si>
  <si>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</si>
  <si>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</si>
  <si>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</si>
  <si>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</si>
  <si>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</si>
  <si>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</si>
  <si>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</si>
  <si>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</si>
  <si>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</si>
  <si>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</si>
  <si>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</si>
  <si>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</si>
  <si>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</si>
  <si>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</si>
  <si>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</si>
  <si>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</si>
  <si>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</si>
  <si>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</si>
  <si>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</si>
  <si>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</si>
  <si>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</si>
  <si>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</si>
  <si>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</si>
  <si>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</si>
  <si>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</si>
  <si>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</si>
  <si>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</si>
  <si>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</si>
  <si>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</si>
  <si>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</si>
  <si>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</si>
  <si>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</si>
  <si>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</si>
  <si>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</si>
  <si>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</si>
  <si>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</si>
  <si>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</si>
  <si>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</si>
  <si>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</si>
  <si>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</si>
  <si>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</si>
  <si>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</si>
  <si>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</si>
  <si>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</si>
  <si>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</si>
  <si>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</si>
  <si>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</si>
  <si>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</si>
  <si>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</si>
  <si>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</si>
  <si>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</si>
  <si>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</si>
  <si>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</si>
  <si>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</si>
  <si>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</si>
  <si>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</si>
  <si>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</si>
  <si>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</si>
  <si>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</si>
  <si>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</si>
  <si>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</si>
  <si>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</si>
  <si>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</si>
  <si>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</si>
  <si>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</si>
  <si>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</si>
  <si>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</si>
  <si>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</si>
  <si>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</si>
  <si>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</si>
  <si>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</si>
  <si>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</si>
  <si>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</si>
  <si>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</si>
  <si>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</si>
  <si>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</si>
  <si>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</si>
  <si>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</si>
  <si>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</si>
  <si>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</si>
  <si>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</si>
  <si>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</si>
  <si>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</si>
  <si>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</si>
  <si>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</si>
  <si>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</si>
  <si>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</si>
  <si>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</si>
  <si>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</si>
  <si>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</si>
  <si>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</si>
  <si>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</si>
  <si>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</si>
  <si>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</si>
  <si>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</si>
  <si>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</si>
  <si>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</si>
  <si>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</si>
  <si>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</si>
  <si>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</si>
  <si>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</si>
  <si>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</si>
  <si>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</si>
  <si>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</si>
  <si>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</si>
  <si>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</si>
  <si>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</si>
  <si>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</si>
  <si>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</si>
  <si>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</si>
  <si>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</si>
  <si>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</si>
  <si>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</si>
  <si>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</si>
  <si>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</si>
  <si>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</si>
  <si>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</si>
  <si>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</si>
  <si>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</si>
  <si>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</si>
  <si>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</si>
  <si>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</si>
  <si>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</si>
  <si>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</si>
  <si>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</si>
  <si>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</si>
  <si>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</si>
  <si>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</si>
  <si>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</si>
  <si>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</si>
  <si>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</si>
  <si>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</si>
  <si>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</si>
  <si>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</si>
  <si>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</si>
  <si>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</si>
  <si>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</si>
  <si>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</si>
  <si>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</si>
  <si>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</si>
  <si>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</si>
  <si>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</si>
  <si>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</si>
  <si>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</si>
  <si>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</si>
  <si>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</si>
  <si>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</si>
  <si>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</si>
  <si>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</si>
  <si>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</si>
  <si>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</si>
  <si>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</si>
  <si>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</si>
  <si>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</si>
  <si>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</si>
  <si>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</si>
  <si>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</si>
  <si>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</si>
  <si>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</si>
  <si>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</si>
  <si>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</si>
  <si>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</si>
  <si>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</si>
  <si>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</si>
  <si>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</si>
  <si>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</si>
  <si>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</si>
  <si>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</si>
  <si>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</si>
  <si>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</si>
  <si>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</si>
  <si>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</si>
  <si>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</si>
  <si>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</si>
  <si>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</si>
  <si>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</si>
  <si>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</si>
  <si>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</si>
  <si>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</si>
  <si>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</si>
  <si>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</si>
  <si>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</si>
  <si>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</si>
  <si>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</si>
  <si>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</si>
  <si>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</si>
  <si>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</si>
  <si>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</si>
  <si>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</si>
  <si>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</si>
  <si>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</si>
  <si>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</si>
  <si>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</si>
  <si>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</si>
  <si>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</si>
  <si>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</si>
  <si>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</si>
  <si>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</si>
  <si>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</si>
  <si>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</si>
  <si>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</si>
  <si>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</si>
  <si>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</si>
  <si>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</si>
  <si>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</si>
  <si>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</si>
  <si>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</si>
  <si>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</si>
  <si>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</si>
  <si>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</si>
  <si>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</si>
  <si>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</si>
  <si>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</si>
  <si>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</si>
  <si>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</si>
  <si>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</si>
  <si>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</si>
  <si>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</si>
  <si>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</si>
  <si>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</si>
  <si>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</si>
  <si>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</si>
  <si>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</si>
  <si>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</si>
  <si>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</si>
  <si>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</si>
  <si>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</si>
  <si>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</si>
  <si>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</si>
  <si>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</si>
  <si>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</si>
  <si>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</si>
  <si>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</si>
  <si>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</si>
  <si>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</si>
  <si>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</si>
  <si>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</si>
  <si>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</si>
  <si>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</si>
  <si>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</si>
  <si>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</si>
  <si>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</si>
  <si>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</si>
  <si>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</si>
  <si>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</si>
  <si>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</si>
  <si>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</si>
  <si>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</si>
  <si>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</si>
  <si>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</si>
  <si>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</si>
  <si>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</si>
  <si>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</si>
  <si>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</si>
  <si>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</si>
  <si>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</si>
  <si>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</si>
  <si>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</si>
  <si>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</si>
  <si>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</si>
  <si>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</si>
  <si>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</si>
  <si>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</si>
  <si>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</si>
  <si>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</si>
  <si>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</si>
  <si>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</si>
  <si>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</si>
  <si>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</si>
  <si>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</si>
  <si>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</si>
  <si>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</si>
  <si>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</si>
  <si>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</si>
  <si>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</si>
  <si>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</si>
  <si>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</si>
  <si>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</si>
  <si>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</si>
  <si>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</si>
  <si>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</si>
  <si>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</si>
  <si>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</si>
  <si>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</si>
  <si>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</si>
  <si>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</si>
  <si>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</si>
  <si>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</si>
  <si>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</si>
  <si>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</si>
  <si>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</si>
  <si>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</si>
  <si>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</si>
  <si>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</si>
  <si>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</si>
  <si>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</si>
  <si>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</si>
  <si>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</si>
  <si>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</si>
  <si>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</si>
  <si>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</si>
  <si>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</si>
  <si>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</si>
  <si>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</si>
  <si>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</si>
  <si>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</si>
  <si>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</si>
  <si>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</si>
  <si>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</si>
  <si>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</si>
  <si>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</si>
  <si>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</si>
  <si>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</si>
  <si>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</si>
  <si>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</si>
  <si>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</si>
  <si>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</si>
  <si>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</si>
  <si>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</si>
  <si>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</si>
  <si>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</si>
  <si>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</si>
  <si>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</si>
  <si>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</si>
  <si>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</si>
  <si>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</si>
  <si>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</si>
  <si>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</si>
  <si>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</si>
  <si>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</si>
  <si>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</si>
  <si>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</si>
  <si>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</si>
  <si>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</si>
  <si>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</si>
  <si>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</si>
  <si>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</si>
  <si>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</si>
  <si>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</si>
  <si>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</si>
  <si>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</si>
  <si>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</si>
  <si>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</si>
  <si>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</si>
  <si>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</si>
  <si>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</si>
  <si>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</si>
  <si>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</si>
  <si>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</si>
  <si>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</si>
  <si>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</si>
  <si>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</si>
  <si>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</si>
  <si>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</si>
  <si>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</si>
  <si>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</si>
  <si>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</si>
  <si>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</si>
  <si>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</si>
  <si>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</si>
  <si>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</si>
  <si>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</si>
  <si>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</si>
  <si>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</si>
  <si>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</si>
  <si>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</si>
  <si>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</si>
  <si>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</si>
  <si>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</si>
  <si>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</si>
  <si>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</si>
  <si>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</si>
  <si>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</si>
  <si>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</si>
  <si>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</si>
  <si>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</si>
  <si>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</si>
  <si>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</si>
  <si>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</si>
  <si>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</si>
  <si>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</si>
  <si>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</si>
  <si>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</si>
  <si>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</si>
  <si>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</si>
  <si>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</si>
  <si>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</si>
  <si>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</si>
  <si>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</si>
  <si>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</si>
  <si>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</si>
  <si>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</si>
  <si>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</si>
  <si>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</si>
  <si>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</si>
  <si>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</si>
  <si>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</si>
  <si>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</si>
  <si>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</si>
  <si>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</si>
  <si>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</si>
  <si>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</si>
  <si>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</si>
  <si>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</si>
  <si>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</si>
  <si>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</si>
  <si>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</si>
  <si>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</si>
  <si>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</si>
  <si>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</si>
  <si>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</si>
  <si>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</si>
  <si>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</si>
  <si>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</si>
  <si>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</si>
  <si>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</si>
  <si>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</si>
  <si>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</si>
  <si>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</si>
  <si>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</si>
  <si>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</si>
  <si>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</si>
  <si>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</si>
  <si>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</si>
  <si>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</si>
  <si>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</si>
  <si>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</si>
  <si>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</si>
  <si>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</si>
  <si>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</si>
  <si>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</si>
  <si>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</si>
  <si>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</si>
  <si>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</si>
  <si>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</si>
  <si>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</si>
  <si>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</si>
  <si>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</si>
  <si>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</si>
  <si>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</si>
  <si>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</si>
  <si>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</si>
  <si>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</si>
  <si>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</si>
  <si>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</si>
  <si>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</si>
  <si>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</si>
  <si>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</si>
  <si>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</si>
  <si>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</si>
  <si>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</si>
  <si>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</si>
  <si>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</si>
  <si>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</si>
  <si>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</si>
  <si>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</si>
  <si>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</si>
  <si>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</si>
  <si>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</si>
  <si>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</si>
  <si>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</si>
  <si>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</si>
  <si>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</si>
  <si>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</si>
  <si>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</si>
  <si>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</si>
  <si>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</si>
  <si>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</si>
  <si>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</si>
  <si>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</si>
  <si>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</si>
  <si>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</si>
  <si>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</si>
  <si>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</si>
  <si>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</si>
  <si>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</si>
  <si>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</si>
  <si>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</si>
  <si>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</si>
  <si>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</si>
  <si>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</si>
  <si>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</si>
  <si>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</si>
  <si>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</si>
  <si>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</si>
  <si>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</si>
  <si>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</si>
  <si>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</si>
  <si>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</si>
  <si>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</si>
  <si>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</si>
  <si>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</si>
  <si>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</si>
  <si>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</si>
  <si>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</si>
  <si>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</si>
  <si>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</si>
  <si>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</si>
  <si>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</si>
  <si>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</si>
  <si>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</si>
  <si>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</si>
  <si>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</si>
  <si>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</si>
  <si>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</si>
  <si>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</si>
  <si>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</si>
  <si>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</si>
  <si>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</si>
  <si>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</si>
  <si>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</si>
  <si>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</si>
  <si>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</si>
  <si>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</si>
  <si>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</si>
  <si>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</si>
  <si>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</si>
  <si>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</si>
  <si>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</si>
  <si>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</si>
  <si>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</si>
  <si>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</si>
  <si>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</si>
  <si>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</si>
  <si>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</si>
  <si>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</si>
  <si>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</si>
  <si>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</si>
  <si>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</si>
  <si>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</si>
  <si>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</si>
  <si>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</si>
  <si>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</si>
  <si>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</si>
  <si>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</si>
  <si>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</si>
  <si>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</si>
  <si>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</si>
  <si>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</si>
  <si>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</si>
  <si>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</si>
  <si>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</si>
  <si>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</si>
  <si>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</si>
  <si>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</si>
  <si>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</si>
  <si>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</si>
  <si>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</si>
  <si>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</si>
  <si>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</si>
  <si>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</si>
  <si>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</si>
  <si>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</si>
  <si>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</si>
  <si>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</si>
  <si>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</si>
  <si>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</si>
  <si>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</si>
  <si>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</si>
  <si>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</si>
  <si>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</si>
  <si>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</si>
  <si>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</si>
  <si>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</si>
  <si>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</si>
  <si>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</si>
  <si>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</si>
  <si>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</si>
  <si>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</si>
  <si>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</si>
  <si>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</si>
  <si>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</si>
  <si>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</si>
  <si>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</si>
  <si>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</si>
  <si>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</si>
  <si>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</si>
  <si>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</si>
  <si>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</si>
  <si>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</si>
  <si>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</si>
  <si>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</si>
  <si>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</si>
  <si>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</si>
  <si>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</si>
  <si>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</si>
  <si>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</si>
  <si>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</si>
  <si>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</si>
  <si>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</si>
  <si>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</si>
  <si>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</si>
  <si>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</si>
  <si>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</si>
  <si>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</si>
  <si>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</si>
  <si>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</si>
  <si>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</si>
  <si>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</si>
  <si>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</si>
  <si>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</si>
  <si>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</si>
  <si>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</si>
  <si>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</si>
  <si>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</si>
  <si>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</si>
  <si>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</si>
  <si>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</si>
  <si>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</si>
  <si>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</si>
  <si>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</si>
  <si>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</si>
  <si>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</si>
  <si>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</si>
  <si>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</si>
  <si>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</si>
  <si>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</si>
  <si>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</si>
  <si>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</si>
  <si>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</si>
  <si>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</si>
  <si>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</si>
  <si>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</si>
  <si>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</si>
  <si>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</si>
  <si>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</si>
  <si>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</si>
  <si>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</si>
  <si>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</si>
  <si>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</si>
  <si>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</si>
  <si>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</si>
  <si>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</si>
  <si>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</si>
  <si>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</si>
  <si>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</si>
  <si>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</si>
  <si>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</si>
  <si>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</si>
  <si>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</si>
  <si>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</si>
  <si>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</si>
  <si>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</si>
  <si>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</si>
  <si>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</si>
  <si>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</si>
  <si>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</si>
  <si>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</si>
  <si>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</si>
  <si>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</si>
  <si>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</si>
  <si>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</si>
  <si>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</si>
  <si>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</si>
  <si>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</si>
  <si>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</si>
  <si>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</si>
  <si>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</si>
  <si>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</si>
  <si>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</si>
  <si>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</si>
  <si>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</si>
  <si>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</si>
  <si>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</si>
  <si>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</si>
  <si>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</si>
  <si>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</si>
  <si>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</si>
  <si>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</si>
  <si>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</si>
  <si>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</si>
  <si>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</si>
  <si>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</si>
  <si>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</si>
  <si>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</si>
  <si>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</si>
  <si>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</si>
  <si>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</si>
  <si>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</si>
  <si>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</si>
  <si>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</si>
  <si>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</si>
  <si>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</si>
  <si>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</si>
  <si>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</si>
  <si>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</si>
  <si>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</si>
  <si>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</si>
  <si>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</si>
  <si>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</si>
  <si>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</si>
  <si>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</si>
  <si>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</si>
  <si>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</si>
  <si>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</si>
  <si>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</si>
  <si>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</si>
  <si>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</si>
  <si>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</si>
  <si>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</si>
  <si>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</si>
  <si>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</si>
  <si>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</si>
  <si>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</si>
  <si>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</si>
  <si>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</si>
  <si>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</si>
  <si>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</si>
  <si>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</si>
  <si>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</si>
  <si>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</si>
  <si>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</si>
  <si>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</si>
  <si>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</si>
  <si>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</si>
  <si>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</si>
  <si>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</si>
  <si>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</si>
  <si>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</si>
  <si>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</si>
  <si>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</si>
  <si>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</si>
  <si>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</si>
  <si>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</si>
  <si>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</si>
  <si>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</si>
  <si>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</si>
  <si>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</si>
  <si>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</si>
  <si>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</si>
  <si>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</si>
  <si>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</si>
  <si>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</si>
  <si>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</si>
  <si>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</si>
  <si>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</si>
  <si>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</si>
  <si>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</si>
  <si>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</si>
  <si>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</si>
  <si>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</si>
  <si>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</si>
  <si>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</si>
  <si>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</si>
  <si>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</si>
  <si>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</si>
  <si>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</si>
  <si>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</si>
  <si>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</si>
  <si>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</si>
  <si>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</si>
  <si>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</si>
  <si>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</si>
  <si>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</si>
  <si>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</si>
  <si>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</si>
  <si>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</si>
  <si>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</si>
  <si>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</si>
  <si>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</si>
  <si>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</si>
  <si>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</si>
  <si>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</si>
  <si>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</si>
  <si>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</si>
  <si>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</si>
  <si>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</si>
  <si>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</si>
  <si>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</si>
  <si>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</si>
  <si>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</si>
  <si>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</si>
  <si>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</si>
  <si>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</si>
  <si>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</si>
  <si>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</si>
  <si>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</si>
  <si>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</si>
  <si>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</si>
  <si>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</si>
  <si>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</si>
  <si>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</si>
  <si>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</si>
  <si>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</si>
  <si>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</si>
  <si>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</si>
  <si>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</si>
  <si>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</si>
  <si>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</si>
  <si>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</si>
  <si>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</si>
  <si>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</si>
  <si>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</si>
  <si>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</si>
  <si>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</si>
  <si>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</si>
  <si>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</si>
  <si>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</si>
  <si>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</si>
  <si>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</si>
  <si>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</si>
  <si>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</si>
  <si>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</si>
  <si>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</si>
  <si>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</si>
  <si>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</si>
  <si>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</si>
  <si>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</si>
  <si>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</si>
  <si>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</si>
  <si>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</si>
  <si>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</si>
  <si>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</si>
  <si>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</si>
  <si>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</si>
  <si>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</si>
  <si>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</si>
  <si>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</si>
  <si>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</si>
  <si>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</si>
  <si>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</si>
  <si>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</si>
  <si>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</si>
  <si>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</si>
  <si>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</si>
  <si>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</si>
  <si>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</si>
  <si>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</si>
  <si>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</si>
  <si>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</si>
  <si>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</si>
  <si>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</si>
  <si>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</si>
  <si>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</si>
  <si>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</si>
  <si>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</si>
  <si>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</si>
  <si>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</si>
  <si>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</si>
  <si>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</si>
  <si>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</si>
  <si>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</si>
  <si>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</si>
  <si>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</si>
  <si>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</si>
  <si>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</si>
  <si>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</si>
  <si>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</si>
  <si>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</si>
  <si>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</si>
  <si>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</si>
  <si>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</si>
  <si>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</si>
  <si>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</si>
  <si>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</si>
  <si>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</si>
  <si>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</si>
  <si>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</si>
  <si>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</si>
  <si>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</si>
  <si>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</si>
  <si>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</si>
  <si>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</si>
  <si>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</si>
  <si>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</si>
  <si>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</si>
  <si>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</si>
  <si>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</si>
  <si>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</si>
  <si>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</si>
  <si>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</si>
  <si>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</si>
  <si>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</si>
  <si>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</si>
  <si>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</si>
  <si>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</si>
  <si>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</si>
  <si>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</si>
  <si>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</si>
  <si>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</si>
  <si>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</si>
  <si>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</si>
  <si>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</si>
  <si>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</si>
  <si>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</si>
  <si>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</si>
  <si>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</si>
  <si>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</si>
  <si>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</si>
  <si>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</si>
  <si>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</si>
  <si>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</si>
  <si>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</si>
  <si>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</si>
  <si>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</si>
  <si>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</si>
  <si>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</si>
  <si>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</si>
  <si>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</si>
  <si>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</si>
  <si>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</si>
  <si>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</si>
  <si>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</si>
  <si>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</si>
  <si>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</si>
  <si>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</si>
  <si>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</si>
  <si>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</si>
  <si>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</si>
  <si>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</si>
  <si>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</si>
  <si>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</si>
  <si>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</si>
  <si>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</si>
  <si>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</si>
  <si>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</si>
  <si>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</si>
  <si>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</si>
  <si>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</si>
  <si>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</si>
  <si>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</si>
  <si>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</si>
  <si>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</si>
  <si>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</si>
  <si>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</si>
  <si>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</si>
  <si>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</si>
  <si>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</si>
  <si>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</si>
  <si>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</si>
  <si>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</si>
  <si>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</si>
  <si>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</si>
  <si>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</si>
  <si>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</si>
  <si>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</si>
  <si>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</si>
  <si>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</si>
  <si>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</si>
  <si>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</si>
  <si>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</si>
  <si>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</si>
  <si>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</si>
  <si>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</si>
  <si>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</si>
  <si>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</si>
  <si>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</si>
  <si>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</si>
  <si>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</si>
  <si>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</si>
  <si>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</si>
  <si>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</si>
  <si>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</si>
  <si>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</si>
  <si>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</si>
  <si>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</si>
  <si>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</si>
  <si>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</si>
  <si>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</si>
  <si>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</si>
  <si>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</si>
  <si>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</si>
  <si>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</si>
  <si>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</si>
  <si>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</si>
  <si>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</si>
  <si>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</si>
  <si>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</si>
  <si>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</si>
  <si>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</si>
  <si>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</si>
  <si>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</si>
  <si>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</si>
  <si>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</si>
  <si>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</si>
  <si>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</si>
  <si>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</si>
  <si>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</si>
  <si>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</si>
  <si>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</si>
  <si>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</si>
  <si>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</si>
  <si>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</si>
  <si>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</si>
  <si>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</si>
  <si>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</si>
  <si>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</si>
  <si>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</si>
  <si>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</si>
  <si>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</si>
  <si>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</si>
  <si>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</si>
  <si>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</si>
  <si>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</si>
  <si>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</si>
  <si>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</si>
  <si>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</si>
  <si>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</si>
  <si>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</si>
  <si>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</si>
  <si>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</si>
  <si>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</si>
  <si>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</si>
  <si>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</si>
  <si>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</si>
  <si>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</si>
  <si>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</si>
  <si>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</si>
  <si>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</si>
  <si>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</si>
  <si>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</si>
  <si>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</si>
  <si>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</si>
  <si>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</si>
  <si>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</si>
  <si>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</si>
  <si>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</si>
  <si>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</si>
  <si>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</si>
  <si>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</si>
  <si>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</si>
  <si>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</si>
  <si>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</si>
  <si>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</si>
  <si>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</si>
  <si>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</si>
  <si>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</si>
  <si>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</si>
  <si>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</si>
  <si>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</si>
  <si>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</si>
  <si>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</si>
  <si>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</si>
  <si>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</si>
  <si>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</si>
  <si>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</si>
  <si>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</si>
  <si>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</si>
  <si>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</si>
  <si>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</si>
  <si>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</si>
  <si>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</si>
  <si>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</si>
  <si>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</si>
  <si>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</si>
  <si>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</si>
  <si>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</si>
  <si>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</si>
  <si>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</si>
  <si>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</si>
  <si>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</si>
  <si>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</si>
  <si>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</si>
  <si>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</si>
  <si>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</si>
  <si>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</si>
  <si>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</si>
  <si>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</si>
  <si>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</si>
  <si>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</si>
  <si>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</si>
  <si>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</si>
  <si>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</si>
  <si>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</si>
  <si>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</si>
  <si>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</si>
  <si>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</si>
  <si>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</si>
  <si>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</si>
  <si>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</si>
  <si>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</si>
  <si>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</si>
  <si>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</si>
  <si>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</si>
  <si>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</si>
  <si>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</si>
  <si>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</si>
  <si>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</si>
  <si>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</si>
  <si>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</si>
  <si>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</si>
  <si>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</si>
  <si>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</si>
  <si>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</si>
  <si>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</si>
  <si>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</si>
  <si>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</si>
  <si>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</si>
  <si>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</si>
  <si>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</si>
  <si>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</si>
  <si>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</si>
  <si>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</si>
  <si>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</si>
  <si>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</si>
  <si>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</si>
  <si>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</si>
  <si>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</si>
  <si>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</si>
  <si>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</si>
  <si>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</si>
  <si>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</si>
  <si>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</si>
  <si>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</si>
  <si>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</si>
  <si>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</si>
  <si>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</si>
  <si>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</si>
  <si>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</si>
  <si>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</si>
  <si>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</si>
  <si>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</si>
  <si>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</si>
  <si>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</si>
  <si>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</si>
  <si>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</si>
  <si>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</si>
  <si>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</si>
  <si>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</si>
  <si>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</si>
  <si>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</si>
  <si>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</si>
  <si>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</si>
  <si>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</si>
  <si>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</si>
  <si>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</si>
  <si>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</si>
  <si>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</si>
  <si>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</si>
  <si>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</si>
  <si>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</si>
  <si>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</si>
  <si>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</si>
  <si>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</si>
  <si>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</si>
  <si>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</si>
  <si>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</si>
  <si>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</si>
  <si>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</si>
  <si>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</si>
  <si>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</si>
  <si>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</si>
  <si>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</si>
  <si>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</si>
  <si>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</si>
  <si>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</si>
  <si>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</si>
  <si>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</si>
  <si>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</si>
  <si>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</si>
  <si>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</si>
  <si>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</si>
  <si>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</si>
  <si>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</si>
  <si>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</si>
  <si>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</si>
  <si>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</si>
  <si>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</si>
  <si>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</si>
  <si>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</si>
  <si>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</si>
  <si>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</si>
  <si>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</si>
  <si>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</si>
  <si>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</si>
  <si>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</si>
  <si>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</si>
  <si>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</si>
  <si>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</si>
  <si>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</si>
  <si>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</si>
  <si>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</si>
  <si>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</si>
  <si>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</si>
  <si>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</si>
  <si>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</si>
  <si>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</si>
  <si>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</si>
  <si>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</si>
  <si>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</si>
  <si>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</si>
  <si>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</si>
  <si>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</si>
  <si>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</si>
  <si>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</si>
  <si>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</si>
  <si>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</si>
  <si>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</si>
  <si>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</si>
  <si>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</si>
  <si>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</si>
  <si>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</si>
  <si>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</si>
  <si>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</si>
  <si>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</si>
  <si>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</si>
  <si>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</si>
  <si>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</si>
  <si>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</si>
  <si>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</si>
  <si>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</si>
  <si>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</si>
  <si>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</si>
  <si>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</si>
  <si>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</si>
  <si>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</si>
  <si>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</si>
  <si>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</si>
  <si>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</si>
  <si>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</si>
  <si>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</si>
  <si>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</si>
  <si>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</si>
  <si>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</si>
  <si>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</si>
  <si>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</si>
  <si>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</si>
  <si>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</si>
  <si>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</si>
  <si>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</si>
  <si>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</si>
  <si>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</si>
  <si>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</si>
  <si>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</si>
  <si>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</si>
  <si>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</si>
  <si>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</si>
  <si>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</si>
  <si>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</si>
  <si>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</si>
  <si>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</si>
  <si>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</si>
  <si>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</si>
  <si>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</si>
  <si>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</si>
  <si>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</si>
  <si>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</si>
  <si>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</si>
  <si>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</si>
  <si>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</si>
  <si>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</si>
  <si>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</si>
  <si>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</si>
  <si>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</si>
  <si>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</si>
  <si>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</si>
  <si>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</si>
  <si>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</si>
  <si>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</si>
  <si>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</si>
  <si>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</si>
  <si>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</si>
  <si>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</si>
  <si>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</si>
  <si>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</si>
  <si>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</si>
  <si>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</si>
  <si>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</si>
  <si>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</si>
  <si>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</si>
  <si>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</si>
  <si>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</si>
  <si>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</si>
  <si>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</si>
  <si>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</si>
  <si>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</si>
  <si>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</si>
  <si>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</si>
  <si>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</si>
  <si>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</si>
  <si>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</si>
  <si>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</si>
  <si>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</si>
  <si>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</si>
  <si>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</si>
  <si>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</si>
  <si>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</si>
  <si>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</si>
  <si>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</si>
  <si>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</si>
  <si>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</si>
  <si>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</si>
  <si>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</si>
  <si>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</si>
  <si>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</si>
  <si>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</si>
  <si>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</si>
  <si>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</si>
  <si>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</si>
  <si>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</si>
  <si>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</si>
  <si>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</si>
  <si>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</si>
  <si>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</si>
  <si>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</si>
  <si>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</si>
  <si>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</si>
  <si>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</si>
  <si>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</si>
  <si>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</si>
  <si>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</si>
  <si>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</si>
  <si>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</si>
  <si>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</si>
  <si>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</si>
  <si>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</si>
  <si>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</si>
  <si>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</si>
  <si>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</si>
  <si>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</si>
  <si>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</si>
  <si>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</si>
  <si>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</si>
  <si>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</si>
  <si>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</si>
  <si>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</si>
  <si>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</si>
  <si>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</si>
  <si>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</si>
  <si>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</si>
  <si>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</si>
  <si>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</si>
  <si>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</si>
  <si>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</si>
  <si>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</si>
  <si>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</si>
  <si>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</si>
  <si>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</si>
  <si>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</si>
  <si>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</si>
  <si>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</si>
  <si>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</si>
  <si>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</si>
  <si>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</si>
  <si>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</si>
  <si>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</si>
  <si>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</si>
  <si>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</si>
  <si>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</si>
  <si>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</si>
  <si>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</si>
  <si>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</si>
  <si>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</si>
  <si>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</si>
  <si>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</si>
  <si>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</si>
  <si>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</si>
  <si>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</si>
  <si>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</si>
  <si>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</si>
  <si>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</si>
  <si>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</si>
  <si>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</si>
  <si>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</si>
  <si>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</si>
  <si>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</si>
  <si>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</si>
  <si>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</si>
  <si>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</si>
  <si>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</si>
  <si>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</si>
  <si>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</si>
  <si>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</si>
  <si>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</si>
  <si>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</si>
  <si>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</si>
  <si>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</si>
  <si>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</si>
  <si>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</si>
  <si>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</si>
  <si>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</si>
  <si>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</si>
  <si>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</si>
  <si>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</si>
  <si>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</si>
  <si>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</si>
  <si>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</si>
  <si>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</si>
  <si>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</si>
  <si>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</si>
  <si>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</si>
  <si>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</si>
  <si>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</si>
  <si>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</si>
  <si>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</si>
  <si>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</si>
  <si>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</si>
  <si>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</si>
  <si>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</si>
  <si>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</si>
  <si>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</si>
  <si>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</si>
  <si>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</si>
  <si>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</si>
  <si>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</si>
  <si>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</si>
  <si>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</si>
  <si>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</si>
  <si>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</si>
  <si>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</si>
  <si>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</si>
  <si>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</si>
  <si>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</si>
  <si>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</si>
  <si>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</si>
  <si>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</si>
  <si>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</si>
  <si>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</si>
  <si>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</si>
  <si>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</si>
  <si>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</si>
  <si>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</si>
  <si>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</si>
  <si>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</si>
  <si>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</si>
  <si>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</si>
  <si>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</si>
  <si>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通路</t>
  </si>
  <si>
    <t>通电</t>
  </si>
  <si>
    <t>通讯</t>
  </si>
  <si>
    <t>通上水</t>
  </si>
  <si>
    <t>通下水</t>
  </si>
  <si>
    <t>燃气</t>
  </si>
  <si>
    <t>平整</t>
  </si>
  <si>
    <t>崔锴</t>
  </si>
  <si>
    <t>郑燚</t>
  </si>
  <si>
    <t>北京再出发健康管理有限公司</t>
    <phoneticPr fontId="6" type="noConversion"/>
  </si>
  <si>
    <t>工行通州支行</t>
    <phoneticPr fontId="6" type="noConversion"/>
  </si>
  <si>
    <t>抵押</t>
  </si>
  <si>
    <t>房地产抵押价值</t>
  </si>
  <si>
    <t>北京市</t>
  </si>
  <si>
    <t>通州区</t>
    <phoneticPr fontId="6" type="noConversion"/>
  </si>
  <si>
    <r>
      <rPr>
        <sz val="10"/>
        <color theme="9" tint="-0.249977111117893"/>
        <rFont val="宋体"/>
        <family val="3"/>
        <charset val="134"/>
      </rPr>
      <t>口子村东</t>
    </r>
    <r>
      <rPr>
        <sz val="10"/>
        <color theme="9" tint="-0.249977111117893"/>
        <rFont val="Arial"/>
        <family val="2"/>
      </rPr>
      <t>1</t>
    </r>
    <r>
      <rPr>
        <sz val="10"/>
        <color theme="9" tint="-0.249977111117893"/>
        <rFont val="宋体"/>
        <family val="3"/>
        <charset val="134"/>
      </rPr>
      <t>号院</t>
    </r>
    <r>
      <rPr>
        <sz val="10"/>
        <color theme="9" tint="-0.249977111117893"/>
        <rFont val="Arial"/>
        <family val="2"/>
      </rPr>
      <t>36</t>
    </r>
    <r>
      <rPr>
        <sz val="10"/>
        <color theme="9" tint="-0.249977111117893"/>
        <rFont val="宋体"/>
        <family val="3"/>
        <charset val="134"/>
      </rPr>
      <t>、</t>
    </r>
    <r>
      <rPr>
        <sz val="10"/>
        <color theme="9" tint="-0.249977111117893"/>
        <rFont val="Arial"/>
        <family val="2"/>
      </rPr>
      <t>47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号工业用房</t>
    </r>
    <phoneticPr fontId="6" type="noConversion"/>
  </si>
  <si>
    <t>企业</t>
  </si>
  <si>
    <t>出让</t>
  </si>
  <si>
    <t>否</t>
  </si>
  <si>
    <t>复印件</t>
  </si>
  <si>
    <t>《不动产权证书》</t>
  </si>
  <si>
    <t>工业项目</t>
  </si>
  <si>
    <t>无</t>
  </si>
  <si>
    <t>现房</t>
  </si>
  <si>
    <t>是</t>
  </si>
  <si>
    <r>
      <t>36</t>
    </r>
    <r>
      <rPr>
        <sz val="10"/>
        <color indexed="8"/>
        <rFont val="宋体"/>
        <family val="3"/>
        <charset val="134"/>
      </rPr>
      <t>、</t>
    </r>
    <r>
      <rPr>
        <sz val="10"/>
        <color indexed="8"/>
        <rFont val="Arial"/>
        <family val="2"/>
      </rPr>
      <t>47</t>
    </r>
    <r>
      <rPr>
        <sz val="10"/>
        <color indexed="8"/>
        <rFont val="宋体"/>
        <family val="3"/>
        <charset val="134"/>
      </rPr>
      <t>号楼</t>
    </r>
    <phoneticPr fontId="3" type="noConversion"/>
  </si>
  <si>
    <t>地上</t>
  </si>
  <si>
    <t>办公楼</t>
  </si>
  <si>
    <t>地下</t>
  </si>
  <si>
    <t>工业立项办公楼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</si>
</sst>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北京市口子村东1号院36、47号楼-1至3层101号工业用房房地产抵押价值预评估</v>
      </c>
    </row>
    <row r="3" spans="1:2" s="1365" customFormat="1">
      <c r="A3" s="1363" t="s">
        <v>1188</v>
      </c>
      <c r="B3" s="1364" t="str">
        <f>'预评函-封皮'!B40</f>
        <v>北京再出发健康管理有限公司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受贵公司委托，我公司对北京市口子村东1号院36、47号楼-1至3层101号工业用房房地产抵押价值进行了预评估。</v>
      </c>
    </row>
    <row r="7" spans="1:2" s="1365" customFormat="1">
      <c r="A7" s="1363" t="s">
        <v>1231</v>
      </c>
      <c r="B7" s="1364" t="str">
        <f>'预评函-1'!A7</f>
        <v>估价对象为北京市口子村东1号院36、47号楼-1至3层101号工业用房房地产，为北京再出发健康管理有限公司所有。根据《国有土地使用证》[]，估价对象（分摊）出让国有建设用地使用权面积为0平方米，建筑面积为622.69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口子村东1号院36、47号楼-1至3层101号工业用房房地产,属北京再出发健康管理有限公司开发建设的工业项目，该项目尚在开发建设中。根据《国有土地使用证》[]，估价对象（分摊）出让国有建设用地使用权面积为0平方米，规划建筑面积为622.69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为估价委托人在向工行通州支行办理贷款手续过程中，确定房地产抵押贷款额度提供参考依据而评估房地产抵押价值。</v>
      </c>
    </row>
    <row r="12" spans="1:2" s="1365" customFormat="1">
      <c r="A12" s="1363" t="s">
        <v>1193</v>
      </c>
      <c r="B12" s="1364" t="str">
        <f>'预评函-1'!A15</f>
        <v>2020年12月22日（评估专业人员实地查勘之日）</v>
      </c>
    </row>
    <row r="13" spans="1:2" s="1365" customFormat="1">
      <c r="A13" s="1363" t="s">
        <v>1194</v>
      </c>
      <c r="B13" s="1364"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北京市口子村东1号院36、47号楼-1至3层101号工业用房房地产</v>
      </c>
    </row>
    <row r="42" spans="1:2" s="1365" customFormat="1">
      <c r="A42" s="1363" t="s">
        <v>1255</v>
      </c>
      <c r="B42" s="1364" t="str">
        <f>'预评函-3'!B2</f>
        <v>建筑面积</v>
      </c>
    </row>
    <row r="43" spans="1:2" s="1365" customFormat="1">
      <c r="A43" s="1363" t="s">
        <v>1256</v>
      </c>
      <c r="B43" s="1364">
        <f>'预评函-3'!B4</f>
        <v>622.69000000000005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4" zoomScale="90" zoomScaleNormal="90" workbookViewId="0">
      <selection activeCell="J40" sqref="J4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3037</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为估价委托人在向工行通州支行办理贷款手续过程中，确定房地产抵押贷款额度提供参考依据而评估房地产抵押价值。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再出发健康管理有限公司拟使用北京市口子村东1号院36、47号楼-1至3层101号工业用房房地产作为抵押担保物，向工行通州支行办理贷款手续。工行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1741" t="s">
        <v>832</v>
      </c>
      <c r="C54" s="1738" t="s">
        <v>1248</v>
      </c>
    </row>
    <row r="55" spans="1:4">
      <c r="A55" s="3084"/>
      <c r="B55" s="1741" t="s">
        <v>833</v>
      </c>
      <c r="C55" s="1738" t="s">
        <v>1249</v>
      </c>
    </row>
    <row r="56" spans="1:4">
      <c r="A56" s="3084"/>
      <c r="B56" s="1741" t="s">
        <v>834</v>
      </c>
      <c r="C56" s="1738" t="s">
        <v>1253</v>
      </c>
    </row>
    <row r="57" spans="1:4">
      <c r="A57" s="308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093" t="str">
        <f>IF(B10="北京市","北京市",C10)&amp;F10&amp;IF(结果表!G1="在建","出让国有建设用地使用权及在建建筑物",IF(结果表!G1="土地","出让国有建设用地使用权",))&amp;B9&amp;"预评估"</f>
        <v>北京市口子村东1号院36、47号楼-1至3层101号工业用房房地产抵押价值预评估</v>
      </c>
      <c r="C1" s="3094"/>
      <c r="D1" s="3094"/>
      <c r="E1" s="3094"/>
      <c r="F1" s="3094"/>
      <c r="G1" s="3094"/>
      <c r="H1" s="3094"/>
      <c r="I1" s="3095"/>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北京市口子村东1号院36、47号楼-1至3层101号工业用房房地产抵押价值</v>
      </c>
      <c r="T1" s="1933"/>
      <c r="U1" s="1933"/>
      <c r="V1" s="1933"/>
      <c r="W1" s="1933"/>
      <c r="X1" s="1933"/>
      <c r="Y1" s="1933"/>
      <c r="Z1" s="1933"/>
      <c r="AA1" s="1933"/>
      <c r="AB1" s="1933"/>
    </row>
    <row r="2" spans="1:28">
      <c r="A2" s="2593" t="s">
        <v>2916</v>
      </c>
      <c r="B2" s="2597"/>
      <c r="C2" s="2598"/>
      <c r="D2" s="2898"/>
      <c r="E2" s="2888"/>
      <c r="F2" s="2888"/>
      <c r="G2" s="2889"/>
      <c r="H2" s="2889"/>
      <c r="I2" s="2889"/>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北京市口子村东1号院36、47号楼-1至3层101号工业用房房地产</v>
      </c>
      <c r="T2" s="1933"/>
      <c r="U2" s="1933"/>
      <c r="V2" s="1933"/>
      <c r="W2" s="1933"/>
      <c r="X2" s="1933"/>
      <c r="Y2" s="1933"/>
      <c r="Z2" s="1933"/>
      <c r="AA2" s="1933"/>
      <c r="AB2" s="1933"/>
    </row>
    <row r="3" spans="1:28">
      <c r="A3" s="308" t="s">
        <v>2917</v>
      </c>
      <c r="B3" s="2599">
        <v>44187</v>
      </c>
      <c r="C3" s="2600" t="s">
        <v>2918</v>
      </c>
      <c r="D3" s="2599">
        <f>B3</f>
        <v>44187</v>
      </c>
      <c r="E3" s="2889"/>
      <c r="F3" s="2889"/>
      <c r="G3" s="2889"/>
      <c r="H3" s="2889"/>
      <c r="I3" s="2889"/>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t="s">
        <v>3066</v>
      </c>
      <c r="C4" s="2602">
        <f ca="1">SUMIF(注册房地产估价师,B4,估价师及机构信息!B3:B24)</f>
        <v>1120100036</v>
      </c>
      <c r="D4" s="2601" t="s">
        <v>3067</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4"/>
      <c r="K4" s="2604" t="str">
        <f ca="1">CONCATENATE(B4,"（注册号：",C4,")、",D4,"（注册号：",E4,")")</f>
        <v>崔锴（注册号：1120100036)、郑燚（注册号：1120070131)</v>
      </c>
      <c r="L4" s="2595"/>
      <c r="M4" s="2595"/>
      <c r="N4" s="2596"/>
      <c r="O4" s="1763"/>
      <c r="P4" s="2596"/>
      <c r="Q4" s="2596"/>
      <c r="R4" s="2596"/>
      <c r="S4" s="1870"/>
      <c r="T4" s="1933"/>
      <c r="U4" s="1933"/>
      <c r="V4" s="1933"/>
      <c r="W4" s="1933"/>
      <c r="X4" s="1933"/>
      <c r="Y4" s="1933"/>
      <c r="Z4" s="1933"/>
      <c r="AA4" s="1933"/>
      <c r="AB4" s="1933"/>
    </row>
    <row r="5" spans="1:28" ht="36.75" thickTop="1">
      <c r="A5" s="2605" t="s">
        <v>2920</v>
      </c>
      <c r="B5" s="3381" t="s">
        <v>3068</v>
      </c>
      <c r="C5" s="2606"/>
      <c r="D5" s="2607"/>
      <c r="E5" s="2890"/>
      <c r="F5" s="2890"/>
      <c r="G5" s="2890"/>
      <c r="H5" s="2890"/>
      <c r="I5" s="2890"/>
      <c r="J5" s="2664"/>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2921</v>
      </c>
      <c r="B6" s="3382" t="s">
        <v>3069</v>
      </c>
      <c r="C6" s="2609"/>
      <c r="D6" s="2610"/>
      <c r="E6" s="2888"/>
      <c r="F6" s="2890"/>
      <c r="G6" s="2890"/>
      <c r="H6" s="2890"/>
      <c r="I6" s="2890"/>
      <c r="J6" s="2664"/>
      <c r="K6" s="2840" t="str">
        <f>IF(COUNTIF(B6,"*上海银行*"),"上海银行","")</f>
        <v/>
      </c>
      <c r="L6" s="2838"/>
      <c r="M6" s="2838"/>
      <c r="N6" s="2664"/>
      <c r="O6" s="2675"/>
      <c r="P6" s="2664"/>
      <c r="Q6" s="2664"/>
      <c r="R6" s="2664"/>
    </row>
    <row r="7" spans="1:28">
      <c r="A7" s="2608" t="s">
        <v>2922</v>
      </c>
      <c r="B7" s="2611" t="str">
        <f>B5</f>
        <v>北京再出发健康管理有限公司</v>
      </c>
      <c r="C7" s="2609"/>
      <c r="D7" s="2610"/>
      <c r="E7" s="2888"/>
      <c r="F7" s="2890"/>
      <c r="G7" s="2890"/>
      <c r="H7" s="2890"/>
      <c r="I7" s="2890"/>
      <c r="J7" s="2664"/>
      <c r="K7" s="2841"/>
      <c r="L7" s="2838"/>
      <c r="M7" s="2838"/>
      <c r="N7" s="2664"/>
      <c r="O7" s="2675"/>
      <c r="P7" s="2664"/>
      <c r="Q7" s="2664"/>
      <c r="R7" s="2664"/>
    </row>
    <row r="8" spans="1:28">
      <c r="A8" s="2612" t="s">
        <v>2923</v>
      </c>
      <c r="B8" s="2613" t="s">
        <v>3070</v>
      </c>
      <c r="C8" s="2614"/>
      <c r="D8" s="3096" t="s">
        <v>2924</v>
      </c>
      <c r="E8" s="2615" t="s">
        <v>3071</v>
      </c>
      <c r="F8" s="2616"/>
      <c r="G8" s="2889"/>
      <c r="H8" s="2889"/>
      <c r="I8" s="2889"/>
      <c r="J8" s="2664"/>
      <c r="K8" s="2839"/>
      <c r="L8" s="2838"/>
      <c r="M8" s="2838"/>
      <c r="N8" s="2664"/>
      <c r="O8" s="2675"/>
      <c r="P8" s="2664"/>
      <c r="Q8" s="2664"/>
      <c r="R8" s="2664"/>
    </row>
    <row r="9" spans="1:28" ht="13.5" thickBot="1">
      <c r="A9" s="2617" t="s">
        <v>2925</v>
      </c>
      <c r="B9" s="2618" t="s">
        <v>3071</v>
      </c>
      <c r="C9" s="2619"/>
      <c r="D9" s="3097"/>
      <c r="E9" s="2618" t="s">
        <v>70</v>
      </c>
      <c r="F9" s="2620"/>
      <c r="G9" s="2891"/>
      <c r="H9" s="2891"/>
      <c r="I9" s="2891"/>
      <c r="J9" s="2664"/>
      <c r="K9" s="2841"/>
      <c r="L9" s="2838"/>
      <c r="M9" s="2838"/>
      <c r="N9" s="2664"/>
      <c r="O9" s="2675"/>
      <c r="P9" s="2664"/>
      <c r="Q9" s="2664"/>
      <c r="R9" s="2664"/>
    </row>
    <row r="10" spans="1:28" ht="13.5" thickTop="1">
      <c r="A10" s="2621" t="s">
        <v>2926</v>
      </c>
      <c r="B10" s="2622" t="s">
        <v>3072</v>
      </c>
      <c r="C10" s="3383" t="s">
        <v>3073</v>
      </c>
      <c r="D10" s="2607"/>
      <c r="E10" s="2623" t="s">
        <v>2927</v>
      </c>
      <c r="F10" s="2892" t="s">
        <v>3074</v>
      </c>
      <c r="G10" s="2893"/>
      <c r="H10" s="2894"/>
      <c r="I10" s="2895"/>
      <c r="J10" s="2664"/>
      <c r="K10" s="2841"/>
      <c r="L10" s="2838"/>
      <c r="M10" s="2838"/>
      <c r="N10" s="2664"/>
      <c r="O10" s="2675"/>
      <c r="P10" s="2664"/>
      <c r="Q10" s="2664"/>
      <c r="R10" s="2664"/>
    </row>
    <row r="11" spans="1:28">
      <c r="A11" s="2624" t="s">
        <v>2928</v>
      </c>
      <c r="B11" s="2625" t="s">
        <v>3075</v>
      </c>
      <c r="C11" s="2626" t="str">
        <f>B5</f>
        <v>北京再出发健康管理有限公司</v>
      </c>
      <c r="D11" s="2627"/>
      <c r="E11" s="2596"/>
      <c r="F11" s="2596"/>
      <c r="G11" s="2596"/>
      <c r="H11" s="2596"/>
      <c r="I11" s="2596"/>
      <c r="J11" s="2664"/>
      <c r="K11" s="2841"/>
      <c r="L11" s="2838"/>
      <c r="M11" s="2838"/>
      <c r="N11" s="2664"/>
      <c r="O11" s="2675"/>
      <c r="P11" s="2664"/>
      <c r="Q11" s="2664"/>
      <c r="R11" s="2664"/>
    </row>
    <row r="12" spans="1:28">
      <c r="A12" s="2628" t="s">
        <v>2929</v>
      </c>
      <c r="B12" s="2625" t="s">
        <v>3076</v>
      </c>
      <c r="C12" s="329" t="s">
        <v>2930</v>
      </c>
      <c r="D12" s="2629" t="s">
        <v>2931</v>
      </c>
      <c r="E12" s="2629" t="s">
        <v>2932</v>
      </c>
      <c r="F12" s="2629" t="s">
        <v>2933</v>
      </c>
      <c r="G12" s="2629" t="s">
        <v>2934</v>
      </c>
      <c r="H12" s="2629" t="s">
        <v>2935</v>
      </c>
      <c r="I12" s="2629" t="s">
        <v>2936</v>
      </c>
      <c r="J12" s="2664"/>
      <c r="K12" s="2841"/>
      <c r="L12" s="2838"/>
      <c r="M12" s="2838"/>
      <c r="N12" s="2664"/>
      <c r="O12" s="2675"/>
      <c r="P12" s="2664"/>
      <c r="Q12" s="2664"/>
      <c r="R12" s="2664"/>
    </row>
    <row r="13" spans="1:28">
      <c r="A13" s="1241"/>
      <c r="B13" s="2630"/>
      <c r="C13" s="2631" t="s">
        <v>2937</v>
      </c>
      <c r="D13" s="965"/>
      <c r="E13" s="965"/>
      <c r="F13" s="965"/>
      <c r="G13" s="965"/>
      <c r="H13" s="965"/>
      <c r="I13" s="965">
        <v>56590</v>
      </c>
      <c r="J13" s="2664"/>
      <c r="K13" s="2841"/>
      <c r="L13" s="2838"/>
      <c r="M13" s="2838"/>
      <c r="N13" s="2664"/>
      <c r="O13" s="2675"/>
      <c r="P13" s="2664"/>
      <c r="Q13" s="2664"/>
      <c r="R13" s="2664"/>
    </row>
    <row r="14" spans="1:28">
      <c r="A14" s="1241"/>
      <c r="B14" s="2630"/>
      <c r="C14" s="2631" t="s">
        <v>2938</v>
      </c>
      <c r="D14" s="2632"/>
      <c r="E14" s="2632"/>
      <c r="F14" s="2632"/>
      <c r="G14" s="2632"/>
      <c r="H14" s="2632"/>
      <c r="I14" s="2632">
        <v>50</v>
      </c>
      <c r="J14" s="2664"/>
      <c r="K14" s="2842"/>
      <c r="L14" s="2838"/>
      <c r="M14" s="2838"/>
      <c r="N14" s="2664"/>
      <c r="O14" s="2675"/>
      <c r="P14" s="2664"/>
      <c r="Q14" s="2664"/>
      <c r="R14" s="2664"/>
    </row>
    <row r="15" spans="1:28">
      <c r="A15" s="326"/>
      <c r="B15" s="2633"/>
      <c r="C15" s="2634" t="s">
        <v>2939</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33.979999999999997</v>
      </c>
      <c r="J15" s="2664"/>
      <c r="K15" s="2843"/>
      <c r="L15" s="2676"/>
      <c r="M15" s="2676"/>
      <c r="N15" s="2734"/>
      <c r="O15" s="2676"/>
      <c r="P15" s="2734"/>
      <c r="Q15" s="2664"/>
      <c r="R15" s="2664"/>
    </row>
    <row r="16" spans="1:28">
      <c r="A16" s="2623" t="s">
        <v>2940</v>
      </c>
      <c r="B16" s="3103"/>
      <c r="C16" s="3104"/>
      <c r="D16" s="3105"/>
      <c r="E16" s="2638" t="s">
        <v>2941</v>
      </c>
      <c r="F16" s="3106"/>
      <c r="G16" s="3107"/>
      <c r="H16" s="3107"/>
      <c r="I16" s="3108"/>
      <c r="J16" s="2664"/>
      <c r="K16" s="2843"/>
      <c r="L16" s="2676"/>
      <c r="M16" s="2676"/>
      <c r="N16" s="2734"/>
      <c r="O16" s="2676"/>
      <c r="P16" s="2734"/>
      <c r="Q16" s="2664"/>
      <c r="R16" s="2664"/>
    </row>
    <row r="17" spans="1:28">
      <c r="A17" s="319" t="s">
        <v>2942</v>
      </c>
      <c r="B17" s="308" t="s">
        <v>2943</v>
      </c>
      <c r="C17" s="11">
        <f>'数据-汇总表'!E3</f>
        <v>622.69000000000005</v>
      </c>
      <c r="D17" s="2547" t="s">
        <v>2944</v>
      </c>
      <c r="E17" s="3109" t="s">
        <v>2945</v>
      </c>
      <c r="F17" s="3110"/>
      <c r="G17" s="3110"/>
      <c r="H17" s="3110"/>
      <c r="I17" s="3111"/>
      <c r="J17" s="2664"/>
      <c r="K17" s="2844"/>
      <c r="L17" s="2676"/>
      <c r="M17" s="2676"/>
      <c r="N17" s="2734"/>
      <c r="O17" s="2676"/>
      <c r="P17" s="2734"/>
      <c r="Q17" s="2664"/>
      <c r="R17" s="2664"/>
      <c r="S17" s="2664"/>
      <c r="T17" s="2664"/>
      <c r="U17" s="2664"/>
      <c r="V17" s="2664"/>
    </row>
    <row r="18" spans="1:28" ht="24.75" thickBot="1">
      <c r="A18" s="2639" t="s">
        <v>2946</v>
      </c>
      <c r="B18" s="1250" t="s">
        <v>2947</v>
      </c>
      <c r="C18" s="2640">
        <f>'数据-汇总表'!D3</f>
        <v>0</v>
      </c>
      <c r="D18" s="1252" t="s">
        <v>2948</v>
      </c>
      <c r="E18" s="3112" t="s">
        <v>2949</v>
      </c>
      <c r="F18" s="3113"/>
      <c r="G18" s="3113"/>
      <c r="H18" s="3113"/>
      <c r="I18" s="3114"/>
      <c r="J18" s="2664"/>
      <c r="K18" s="2844"/>
      <c r="L18" s="2676"/>
      <c r="M18" s="2676"/>
      <c r="N18" s="2734"/>
      <c r="O18" s="2676"/>
      <c r="P18" s="2734"/>
      <c r="Q18" s="2664"/>
      <c r="R18" s="2664"/>
      <c r="S18" s="2664"/>
      <c r="T18" s="2664"/>
      <c r="U18" s="2664"/>
      <c r="V18" s="2664"/>
    </row>
    <row r="19" spans="1:28" ht="37.5" thickTop="1" thickBot="1">
      <c r="A19" s="333" t="s">
        <v>1741</v>
      </c>
      <c r="B19" s="313" t="s">
        <v>2950</v>
      </c>
      <c r="C19" s="1750" t="s">
        <v>3077</v>
      </c>
      <c r="D19" s="1751" t="s">
        <v>2951</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2952</v>
      </c>
      <c r="B20" s="3099" t="s">
        <v>2953</v>
      </c>
      <c r="C20" s="3100"/>
      <c r="D20" s="3101" t="s">
        <v>2954</v>
      </c>
      <c r="E20" s="3102"/>
      <c r="F20" s="2873" t="s">
        <v>1742</v>
      </c>
      <c r="G20" s="2890"/>
      <c r="H20" s="2890"/>
      <c r="I20" s="2890"/>
      <c r="J20" s="2664"/>
      <c r="K20" s="3098" t="s">
        <v>2955</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95"/>
      <c r="N20" s="2637"/>
      <c r="O20" s="2636"/>
      <c r="P20" s="2637"/>
      <c r="Q20" s="2596"/>
      <c r="R20" s="2596"/>
      <c r="S20" s="2596"/>
      <c r="T20" s="2596"/>
      <c r="U20" s="2596"/>
      <c r="V20" s="2596"/>
      <c r="W20" s="1933"/>
      <c r="X20" s="1933"/>
      <c r="Y20" s="1933"/>
      <c r="Z20" s="1933"/>
      <c r="AA20" s="1933"/>
      <c r="AB20" s="1933"/>
    </row>
    <row r="21" spans="1:28" ht="26.25" thickBot="1">
      <c r="A21" s="2858"/>
      <c r="B21" s="2859" t="s">
        <v>3079</v>
      </c>
      <c r="C21" s="2860" t="s">
        <v>3078</v>
      </c>
      <c r="D21" s="1755"/>
      <c r="E21" s="2861"/>
      <c r="F21" s="2874"/>
      <c r="G21" s="2890"/>
      <c r="H21" s="2890"/>
      <c r="I21" s="2890"/>
      <c r="J21" s="2664"/>
      <c r="K21" s="30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7"/>
      <c r="O21" s="2636"/>
      <c r="P21" s="2637"/>
      <c r="Q21" s="2596"/>
      <c r="R21" s="2596"/>
      <c r="S21" s="2596"/>
      <c r="T21" s="2596"/>
      <c r="U21" s="2596"/>
      <c r="V21" s="2596"/>
      <c r="W21" s="1933"/>
      <c r="X21" s="1933"/>
      <c r="Y21" s="1933"/>
      <c r="Z21" s="1933"/>
      <c r="AA21" s="1933"/>
      <c r="AB21" s="1933"/>
    </row>
    <row r="22" spans="1:28" ht="13.5" thickBot="1">
      <c r="A22" s="2858"/>
      <c r="B22" s="2862"/>
      <c r="C22" s="2860"/>
      <c r="D22" s="2889"/>
      <c r="E22" s="2889"/>
      <c r="F22" s="2889"/>
      <c r="G22" s="2890"/>
      <c r="H22" s="2890"/>
      <c r="I22" s="2890"/>
      <c r="J22" s="2664"/>
      <c r="K22" s="30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7"/>
      <c r="O22" s="2636"/>
      <c r="P22" s="2637"/>
      <c r="Q22" s="2596"/>
      <c r="R22" s="2596"/>
      <c r="S22" s="2596"/>
      <c r="T22" s="2596"/>
      <c r="U22" s="2596"/>
      <c r="V22" s="2596"/>
      <c r="W22" s="1933"/>
      <c r="X22" s="1933"/>
      <c r="Y22" s="1933"/>
      <c r="Z22" s="1933"/>
      <c r="AA22" s="1933"/>
      <c r="AB22" s="1933"/>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1743</v>
      </c>
      <c r="C24" s="2867"/>
      <c r="D24" s="2863" t="s">
        <v>1743</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1744</v>
      </c>
      <c r="C25" s="2867"/>
      <c r="D25" s="2863" t="s">
        <v>1744</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1745</v>
      </c>
      <c r="C26" s="2871"/>
      <c r="D26" s="2869" t="s">
        <v>1745</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086" t="s">
        <v>2958</v>
      </c>
      <c r="B27" s="326" t="s">
        <v>2959</v>
      </c>
      <c r="C27" s="2641" t="s">
        <v>3080</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086"/>
      <c r="B28" s="308" t="s">
        <v>2960</v>
      </c>
      <c r="C28" s="2643" t="s">
        <v>3081</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086"/>
      <c r="B29" s="308" t="s">
        <v>2961</v>
      </c>
      <c r="C29" s="2645" t="s">
        <v>3077</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087"/>
      <c r="B30" s="308" t="s">
        <v>2962</v>
      </c>
      <c r="C30" s="3088"/>
      <c r="D30" s="3089"/>
      <c r="E30" s="2890"/>
      <c r="F30" s="2890"/>
      <c r="G30" s="2890"/>
      <c r="H30" s="2890"/>
      <c r="I30" s="2890"/>
      <c r="J30" s="2664"/>
      <c r="K30" s="2841"/>
      <c r="L30" s="2838"/>
      <c r="M30" s="2838"/>
      <c r="N30" s="2664"/>
      <c r="O30" s="2675"/>
      <c r="P30" s="2664"/>
      <c r="Q30" s="2664"/>
      <c r="R30" s="2664"/>
      <c r="S30" s="2664"/>
      <c r="T30" s="2664"/>
      <c r="U30" s="2664"/>
      <c r="V30" s="2664"/>
    </row>
    <row r="31" spans="1:28">
      <c r="A31" s="3090" t="s">
        <v>2963</v>
      </c>
      <c r="B31" s="2647" t="s">
        <v>3082</v>
      </c>
      <c r="C31" s="2548"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091"/>
      <c r="B32" s="2647"/>
      <c r="C32" s="2548"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091"/>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6" t="s">
        <v>3059</v>
      </c>
      <c r="C34" s="2216" t="s">
        <v>3060</v>
      </c>
      <c r="D34" s="2216" t="s">
        <v>3061</v>
      </c>
      <c r="E34" s="2216" t="s">
        <v>3062</v>
      </c>
      <c r="F34" s="2216" t="s">
        <v>3063</v>
      </c>
      <c r="G34" s="2216" t="s">
        <v>3064</v>
      </c>
      <c r="H34" s="2216" t="s">
        <v>3065</v>
      </c>
      <c r="I34" s="2890"/>
      <c r="J34" s="2664"/>
      <c r="K34" s="2652">
        <f>COUNTIF(B34:H34,"——")</f>
        <v>0</v>
      </c>
      <c r="L34" s="329" t="s">
        <v>2965</v>
      </c>
      <c r="M34" s="329" t="s">
        <v>2966</v>
      </c>
      <c r="N34" s="329" t="s">
        <v>2967</v>
      </c>
      <c r="O34" s="329" t="s">
        <v>2968</v>
      </c>
      <c r="P34" s="329" t="s">
        <v>2969</v>
      </c>
      <c r="Q34" s="329" t="s">
        <v>2970</v>
      </c>
      <c r="R34" s="329" t="s">
        <v>2971</v>
      </c>
      <c r="S34" s="3085" t="s">
        <v>2972</v>
      </c>
      <c r="T34" s="2653" t="str">
        <f>NUMBERSTRING(7-K34,1)&amp;"通"</f>
        <v>七通</v>
      </c>
      <c r="U34" s="2664"/>
      <c r="V34" s="2664"/>
    </row>
    <row r="35" spans="1:30">
      <c r="A35" s="2654"/>
      <c r="B35" s="3092" t="s">
        <v>2973</v>
      </c>
      <c r="C35" s="3092"/>
      <c r="D35" s="3092"/>
      <c r="E35" s="3092"/>
      <c r="F35" s="673" t="str">
        <f>C10</f>
        <v>通州区</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085"/>
      <c r="T35" s="335" t="str">
        <f>IF(T34="一通",L35,IF(T34="二通",M35,IF(T34="三通",N35,IF(T34="四通",O35,IF(T34="五通",P35,IF(T34="六通",Q35,R35))))))</f>
        <v>通路、通电、通讯、通上水、通下水、燃气、平整</v>
      </c>
      <c r="U35" s="2664"/>
      <c r="V35" s="2664"/>
    </row>
    <row r="36" spans="1:30">
      <c r="A36" s="2655"/>
      <c r="B36" s="673" t="s">
        <v>2932</v>
      </c>
      <c r="C36" s="673" t="s">
        <v>2933</v>
      </c>
      <c r="D36" s="673" t="s">
        <v>2931</v>
      </c>
      <c r="E36" s="673" t="s">
        <v>2936</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c r="C37" s="2656"/>
      <c r="D37" s="2656"/>
      <c r="E37" s="2656" t="s">
        <v>528</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2975</v>
      </c>
      <c r="B38" s="2657"/>
      <c r="C38" s="2657"/>
      <c r="D38" s="2657"/>
      <c r="E38" s="2657" t="s">
        <v>297</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6"/>
      <c r="B40" s="2596"/>
      <c r="C40" s="2596"/>
      <c r="D40" s="2596"/>
      <c r="E40" s="2596"/>
      <c r="F40" s="2596"/>
      <c r="G40" s="2596"/>
      <c r="H40" s="2596"/>
      <c r="I40" s="1765"/>
      <c r="J40" s="2734"/>
      <c r="K40" s="2840"/>
      <c r="L40" s="2676"/>
      <c r="M40" s="2676"/>
      <c r="N40" s="2734"/>
      <c r="O40" s="2676"/>
      <c r="P40" s="2664"/>
      <c r="Q40" s="2664"/>
      <c r="R40" s="2664"/>
      <c r="S40" s="2664"/>
      <c r="T40" s="2664"/>
      <c r="U40" s="2664"/>
      <c r="V40" s="2664"/>
    </row>
    <row r="41" spans="1:30">
      <c r="A41" s="2661" t="s">
        <v>2977</v>
      </c>
      <c r="B41" s="1945"/>
      <c r="C41" s="1559"/>
      <c r="D41" s="2596"/>
      <c r="E41" s="2596"/>
      <c r="F41" s="2596"/>
      <c r="G41" s="2596"/>
      <c r="H41" s="2596"/>
      <c r="I41" s="1763"/>
      <c r="J41" s="2664"/>
      <c r="K41" s="2841"/>
      <c r="L41" s="2838"/>
      <c r="M41" s="2838"/>
      <c r="N41" s="2664"/>
      <c r="O41" s="2675"/>
      <c r="P41" s="2664"/>
      <c r="Q41" s="2664"/>
      <c r="R41" s="2664"/>
      <c r="S41" s="2664"/>
      <c r="T41" s="2664"/>
      <c r="U41" s="2664"/>
      <c r="V41" s="2664"/>
    </row>
    <row r="42" spans="1:30" ht="25.5">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J40" sqref="J40"/>
      <selection pane="topRight" activeCell="J40" sqref="J40"/>
      <selection pane="bottomLeft" activeCell="J40" sqref="J40"/>
      <selection pane="bottomRight" activeCell="J27" sqref="J2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1746</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1747</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1748</v>
      </c>
      <c r="B2" s="11" t="s">
        <v>1749</v>
      </c>
      <c r="C2" s="11" t="s">
        <v>1750</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1751</v>
      </c>
      <c r="AZ2" s="1180" t="s">
        <v>1752</v>
      </c>
      <c r="BA2" s="11" t="s">
        <v>1753</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622.69000000000005</v>
      </c>
      <c r="C3" s="1767" t="s">
        <v>1754</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1755</v>
      </c>
      <c r="B5" s="1533"/>
      <c r="C5" s="1533"/>
      <c r="D5" s="1535"/>
      <c r="E5" s="16" t="s">
        <v>1</v>
      </c>
      <c r="F5" s="16">
        <f>SUM(F13:F587)</f>
        <v>0</v>
      </c>
      <c r="G5" s="16">
        <f>SUM(G13:G587)</f>
        <v>622.69000000000005</v>
      </c>
      <c r="H5" s="16">
        <f t="shared" ref="H5:AT5" si="0">SUM(H13:H656)</f>
        <v>622.69000000000005</v>
      </c>
      <c r="I5" s="16">
        <f t="shared" si="0"/>
        <v>467.02</v>
      </c>
      <c r="J5" s="16">
        <f t="shared" si="0"/>
        <v>0</v>
      </c>
      <c r="K5" s="16">
        <f t="shared" si="0"/>
        <v>155.67000000000007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1755</v>
      </c>
      <c r="AW5" s="1533"/>
      <c r="AX5" s="1533"/>
      <c r="AY5" s="17" t="s">
        <v>3</v>
      </c>
      <c r="AZ5" s="18">
        <f t="shared" ref="AZ5:BT5" si="1">SUM(AZ13:AZ656)</f>
        <v>622.69000000000005</v>
      </c>
      <c r="BA5" s="18">
        <f t="shared" si="1"/>
        <v>622.69000000000005</v>
      </c>
      <c r="BB5" s="18">
        <f t="shared" si="1"/>
        <v>467.02</v>
      </c>
      <c r="BC5" s="18">
        <f t="shared" si="1"/>
        <v>155.67000000000007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1756</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1756</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1757</v>
      </c>
      <c r="B7" s="1756" t="s">
        <v>1758</v>
      </c>
      <c r="C7" s="1756" t="s">
        <v>1759</v>
      </c>
      <c r="D7" s="1756" t="s">
        <v>1760</v>
      </c>
      <c r="E7" s="1756" t="s">
        <v>1761</v>
      </c>
      <c r="F7" s="1756" t="s">
        <v>1762</v>
      </c>
      <c r="G7" s="1777" t="s">
        <v>1763</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1764</v>
      </c>
      <c r="AV7" s="23" t="s">
        <v>1765</v>
      </c>
      <c r="AW7" s="1765" t="s">
        <v>1766</v>
      </c>
      <c r="AX7" s="23" t="s">
        <v>1759</v>
      </c>
      <c r="AY7" s="1533" t="s">
        <v>1767</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1768</v>
      </c>
      <c r="H8" s="1783" t="s">
        <v>1769</v>
      </c>
      <c r="I8" s="1784"/>
      <c r="J8" s="1546"/>
      <c r="K8" s="1546"/>
      <c r="L8" s="1546"/>
      <c r="M8" s="1546"/>
      <c r="N8" s="1546"/>
      <c r="O8" s="1546"/>
      <c r="P8" s="1546"/>
      <c r="Q8" s="1546"/>
      <c r="R8" s="1546"/>
      <c r="S8" s="1546"/>
      <c r="T8" s="1546"/>
      <c r="U8" s="1546"/>
      <c r="V8" s="1785"/>
      <c r="W8" s="1546"/>
      <c r="X8" s="1546"/>
      <c r="Y8" s="1546"/>
      <c r="Z8" s="1546"/>
      <c r="AA8" s="1785"/>
      <c r="AB8" s="1786"/>
      <c r="AC8" s="918" t="s">
        <v>1770</v>
      </c>
      <c r="AD8" s="1787"/>
      <c r="AE8" s="1779"/>
      <c r="AF8" s="1546"/>
      <c r="AG8" s="1546"/>
      <c r="AH8" s="1546"/>
      <c r="AI8" s="1546"/>
      <c r="AJ8" s="1546"/>
      <c r="AK8" s="1546"/>
      <c r="AL8" s="1546"/>
      <c r="AM8" s="1546"/>
      <c r="AN8" s="1546"/>
      <c r="AO8" s="1546"/>
      <c r="AP8" s="1546"/>
      <c r="AQ8" s="1546"/>
      <c r="AR8" s="1546"/>
      <c r="AS8" s="1546"/>
      <c r="AT8" s="1202" t="s">
        <v>1771</v>
      </c>
      <c r="AU8" s="1781" t="s">
        <v>1772</v>
      </c>
      <c r="AV8" s="1202"/>
      <c r="AW8" s="1764"/>
      <c r="AX8" s="1202"/>
      <c r="AY8" s="1765" t="s">
        <v>1773</v>
      </c>
      <c r="AZ8" s="1545" t="s">
        <v>1774</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1775</v>
      </c>
      <c r="I9" s="1790" t="s">
        <v>3085</v>
      </c>
      <c r="J9" s="918"/>
      <c r="K9" s="1790" t="s">
        <v>3087</v>
      </c>
      <c r="L9" s="918"/>
      <c r="M9" s="1790"/>
      <c r="N9" s="918"/>
      <c r="O9" s="1790"/>
      <c r="P9" s="918"/>
      <c r="Q9" s="1790"/>
      <c r="R9" s="918"/>
      <c r="S9" s="1790"/>
      <c r="T9" s="918"/>
      <c r="U9" s="1790"/>
      <c r="V9" s="918"/>
      <c r="W9" s="1790"/>
      <c r="X9" s="1791"/>
      <c r="Y9" s="1790"/>
      <c r="Z9" s="918"/>
      <c r="AA9" s="1790"/>
      <c r="AB9" s="918"/>
      <c r="AC9" s="1782"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2"/>
      <c r="AT9" s="1781"/>
      <c r="AU9" s="1781" t="s">
        <v>1778</v>
      </c>
      <c r="AV9" s="1202"/>
      <c r="AW9" s="1764"/>
      <c r="AX9" s="1202"/>
      <c r="AY9" s="28"/>
      <c r="AZ9" s="28" t="s">
        <v>1768</v>
      </c>
      <c r="BA9" s="1793" t="s">
        <v>1779</v>
      </c>
      <c r="BB9" s="1794"/>
      <c r="BC9" s="1248"/>
      <c r="BD9" s="1248"/>
      <c r="BE9" s="1248"/>
      <c r="BF9" s="1248"/>
      <c r="BG9" s="1248"/>
      <c r="BH9" s="1248"/>
      <c r="BI9" s="1248"/>
      <c r="BJ9" s="1248"/>
      <c r="BK9" s="1795"/>
      <c r="BL9" s="15" t="s">
        <v>1780</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c r="N10" s="918"/>
      <c r="O10" s="1796"/>
      <c r="P10" s="918"/>
      <c r="Q10" s="1796"/>
      <c r="R10" s="918"/>
      <c r="S10" s="1796"/>
      <c r="T10" s="918"/>
      <c r="U10" s="1796"/>
      <c r="V10" s="918"/>
      <c r="W10" s="1796"/>
      <c r="X10" s="918"/>
      <c r="Y10" s="1796"/>
      <c r="Z10" s="918"/>
      <c r="AA10" s="1796"/>
      <c r="AB10" s="918"/>
      <c r="AC10" s="1202"/>
      <c r="AD10" s="15" t="s">
        <v>1781</v>
      </c>
      <c r="AE10" s="1797"/>
      <c r="AF10" s="15" t="s">
        <v>1781</v>
      </c>
      <c r="AG10" s="1797"/>
      <c r="AH10" s="15" t="s">
        <v>1782</v>
      </c>
      <c r="AI10" s="1797"/>
      <c r="AJ10" s="15" t="s">
        <v>1782</v>
      </c>
      <c r="AK10" s="1797"/>
      <c r="AL10" s="15" t="s">
        <v>1783</v>
      </c>
      <c r="AM10" s="1208"/>
      <c r="AN10" s="15" t="s">
        <v>1783</v>
      </c>
      <c r="AO10" s="1208"/>
      <c r="AP10" s="15" t="s">
        <v>1784</v>
      </c>
      <c r="AQ10" s="1208"/>
      <c r="AR10" s="15" t="s">
        <v>1784</v>
      </c>
      <c r="AS10" s="1208"/>
      <c r="AT10" s="1781"/>
      <c r="AU10" s="1781"/>
      <c r="AV10" s="1202"/>
      <c r="AW10" s="1764"/>
      <c r="AX10" s="1202"/>
      <c r="AY10" s="28"/>
      <c r="AZ10" s="28"/>
      <c r="BA10" s="1798" t="s">
        <v>1775</v>
      </c>
      <c r="BB10" s="1799" t="str">
        <f>I9</f>
        <v>地上</v>
      </c>
      <c r="BC10" s="29" t="str">
        <f>K9</f>
        <v>地下</v>
      </c>
      <c r="BD10" s="29">
        <f>M9</f>
        <v>0</v>
      </c>
      <c r="BE10" s="29">
        <f>O9</f>
        <v>0</v>
      </c>
      <c r="BF10" s="29">
        <f>Q9</f>
        <v>0</v>
      </c>
      <c r="BG10" s="29">
        <f>S9</f>
        <v>0</v>
      </c>
      <c r="BH10" s="29">
        <f>U9</f>
        <v>0</v>
      </c>
      <c r="BI10" s="29">
        <f>W9</f>
        <v>0</v>
      </c>
      <c r="BJ10" s="29">
        <f>Y9</f>
        <v>0</v>
      </c>
      <c r="BK10" s="29">
        <f>AA9</f>
        <v>0</v>
      </c>
      <c r="BL10" s="25" t="s">
        <v>1775</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3086</v>
      </c>
      <c r="J11" s="1802"/>
      <c r="K11" s="1801" t="s">
        <v>3086</v>
      </c>
      <c r="L11" s="1802"/>
      <c r="M11" s="1801"/>
      <c r="N11" s="1802"/>
      <c r="O11" s="1801"/>
      <c r="P11" s="1802"/>
      <c r="Q11" s="1801"/>
      <c r="R11" s="1802"/>
      <c r="S11" s="1801"/>
      <c r="T11" s="1802"/>
      <c r="U11" s="1801"/>
      <c r="V11" s="1802"/>
      <c r="W11" s="1801"/>
      <c r="X11" s="1802"/>
      <c r="Y11" s="1801"/>
      <c r="Z11" s="1802"/>
      <c r="AA11" s="1801"/>
      <c r="AB11" s="1802"/>
      <c r="AC11" s="1202"/>
      <c r="AD11" s="1803" t="s">
        <v>1785</v>
      </c>
      <c r="AE11" s="1547"/>
      <c r="AF11" s="1803" t="s">
        <v>1785</v>
      </c>
      <c r="AG11" s="1547"/>
      <c r="AH11" s="1803" t="s">
        <v>1786</v>
      </c>
      <c r="AI11" s="1804"/>
      <c r="AJ11" s="1803" t="s">
        <v>1786</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2" t="s">
        <v>1788</v>
      </c>
      <c r="W12" s="11" t="s">
        <v>1787</v>
      </c>
      <c r="X12" s="11" t="s">
        <v>1788</v>
      </c>
      <c r="Y12" s="11" t="s">
        <v>1787</v>
      </c>
      <c r="Z12" s="11" t="s">
        <v>1788</v>
      </c>
      <c r="AA12" s="11" t="s">
        <v>1787</v>
      </c>
      <c r="AB12" s="11" t="s">
        <v>1788</v>
      </c>
      <c r="AC12" s="1808"/>
      <c r="AD12" s="1535"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6" t="s">
        <v>1788</v>
      </c>
      <c r="AT12" s="1809"/>
      <c r="AU12" s="1806"/>
      <c r="AV12" s="31"/>
      <c r="AW12" s="1765"/>
      <c r="AX12" s="31"/>
      <c r="AY12" s="1810"/>
      <c r="AZ12" s="28"/>
      <c r="BA12" s="1798"/>
      <c r="BB12" s="24" t="str">
        <f>I11</f>
        <v>办公楼</v>
      </c>
      <c r="BC12" s="1811" t="str">
        <f>K11</f>
        <v>办公楼</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v>622.69000000000005</v>
      </c>
      <c r="C13" s="1182" t="s">
        <v>3084</v>
      </c>
      <c r="D13" s="1812" t="s">
        <v>3083</v>
      </c>
      <c r="E13" s="16">
        <f>IF($C$3="是",ROUND($A$3*G13/$B$3,2),ROUND($A$3*(G13-AT13)/$B$3,2))</f>
        <v>0</v>
      </c>
      <c r="F13" s="32"/>
      <c r="G13" s="33">
        <f>H13+AC13+AT13</f>
        <v>622.69000000000005</v>
      </c>
      <c r="H13" s="20">
        <f>SUMIF(I$12:AB$12,"总值",I13:AB13)</f>
        <v>622.69000000000005</v>
      </c>
      <c r="I13" s="1813">
        <f>ROUND(B13/4*3,2)</f>
        <v>467.02</v>
      </c>
      <c r="J13" s="1813"/>
      <c r="K13" s="1813">
        <f>B13-I13</f>
        <v>155.67000000000007</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622.69000000000005</v>
      </c>
      <c r="AX13" s="11" t="str">
        <f t="shared" si="6"/>
        <v>36、47号楼</v>
      </c>
      <c r="AY13" s="1535">
        <f>ROUND($AY$6*AZ13/$AZ$5,2)</f>
        <v>0</v>
      </c>
      <c r="AZ13" s="16">
        <f>BA13+BL13</f>
        <v>622.69000000000005</v>
      </c>
      <c r="BA13" s="16">
        <f>SUM(BB13:BK13)</f>
        <v>622.69000000000005</v>
      </c>
      <c r="BB13" s="16">
        <f>IF($D13="是",I13-J13,0)</f>
        <v>467.02</v>
      </c>
      <c r="BC13" s="16">
        <f>IF($D13="是",K13-L13,0)</f>
        <v>155.67000000000007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1814</v>
      </c>
      <c r="B1" s="1301"/>
      <c r="C1" s="1301"/>
      <c r="D1" s="1301"/>
      <c r="E1" s="1301"/>
      <c r="F1" s="1301"/>
      <c r="G1" s="1301"/>
      <c r="H1" s="1301"/>
      <c r="I1" s="1301"/>
      <c r="J1" s="1301"/>
      <c r="K1" s="1301"/>
      <c r="L1" s="1301"/>
      <c r="M1" s="1301"/>
      <c r="N1" s="1301"/>
      <c r="O1" s="1301"/>
      <c r="P1" s="1301"/>
    </row>
    <row r="2" spans="1:16" ht="15">
      <c r="A2" s="3126" t="s">
        <v>1815</v>
      </c>
      <c r="B2" s="3126"/>
      <c r="C2" s="3126"/>
      <c r="D2" s="904" t="s">
        <v>1791</v>
      </c>
      <c r="E2" s="1826" t="s">
        <v>1792</v>
      </c>
      <c r="F2" s="2885"/>
      <c r="G2" s="2876"/>
      <c r="H2" s="2877"/>
      <c r="I2" s="2550" t="s">
        <v>1816</v>
      </c>
      <c r="J2" s="2885"/>
      <c r="K2" s="2885"/>
      <c r="L2" s="2885"/>
      <c r="M2" s="2885"/>
      <c r="N2" s="2887"/>
      <c r="O2" s="2885"/>
      <c r="P2" s="2885"/>
    </row>
    <row r="3" spans="1:16" ht="15.75" thickBot="1">
      <c r="A3" s="3127" t="s">
        <v>1789</v>
      </c>
      <c r="B3" s="3127"/>
      <c r="C3" s="3127"/>
      <c r="D3" s="46">
        <f>'数据-基础表'!AY6</f>
        <v>0</v>
      </c>
      <c r="E3" s="46">
        <f>'数据-基础表'!AZ5</f>
        <v>622.69000000000005</v>
      </c>
      <c r="F3" s="2885"/>
      <c r="G3" s="1307"/>
      <c r="H3" s="1157" t="s">
        <v>1790</v>
      </c>
      <c r="I3" s="964" t="e">
        <f>ROUND('数据-基础表'!B3/'数据-基础表'!A3,2)</f>
        <v>#DIV/0!</v>
      </c>
      <c r="J3" s="2885"/>
      <c r="K3" s="2885"/>
      <c r="L3" s="2885"/>
      <c r="M3" s="2885"/>
      <c r="N3" s="2887"/>
      <c r="O3" s="2885"/>
      <c r="P3" s="2885"/>
    </row>
    <row r="4" spans="1:16" ht="15">
      <c r="A4" s="3128"/>
      <c r="B4" s="3129"/>
      <c r="C4" s="3130"/>
      <c r="D4" s="1828" t="s">
        <v>1791</v>
      </c>
      <c r="E4" s="1829" t="s">
        <v>1792</v>
      </c>
      <c r="F4" s="2885"/>
      <c r="G4" s="2878" t="s">
        <v>1817</v>
      </c>
      <c r="H4" s="1157" t="s">
        <v>1797</v>
      </c>
      <c r="I4" s="964" t="e">
        <f>ROUND(SUMIF('数据-基础表'!I9:AS9,"地上",'数据-基础表'!I5:AS5)/'数据-基础表'!A3,2)</f>
        <v>#DIV/0!</v>
      </c>
      <c r="J4" s="2885"/>
      <c r="K4" s="2885"/>
      <c r="L4" s="2885"/>
      <c r="M4" s="2885"/>
      <c r="N4" s="2887"/>
      <c r="O4" s="2885"/>
      <c r="P4" s="2885"/>
    </row>
    <row r="5" spans="1:16">
      <c r="A5" s="47" t="s">
        <v>1793</v>
      </c>
      <c r="B5" s="3131" t="s">
        <v>1794</v>
      </c>
      <c r="C5" s="3131"/>
      <c r="D5" s="48">
        <f>ROUND($D$3*E5/$E$3,2)</f>
        <v>0</v>
      </c>
      <c r="E5" s="49">
        <f>SUMIF('数据-基础表'!$11:$11,"住宅",'数据-基础表'!$5:$5)</f>
        <v>0</v>
      </c>
      <c r="F5" s="2885"/>
      <c r="G5" s="1307"/>
      <c r="H5" s="1157" t="s">
        <v>1790</v>
      </c>
      <c r="I5" s="964" t="e">
        <f>ROUND(E31/D31,2)</f>
        <v>#DIV/0!</v>
      </c>
      <c r="J5" s="2885"/>
      <c r="K5" s="2885"/>
      <c r="L5" s="2885"/>
      <c r="M5" s="2885"/>
      <c r="N5" s="2885"/>
      <c r="O5" s="2885"/>
      <c r="P5" s="2885"/>
    </row>
    <row r="6" spans="1:16" ht="15" thickBot="1">
      <c r="A6" s="1831"/>
      <c r="B6" s="3131" t="s">
        <v>1795</v>
      </c>
      <c r="C6" s="3131"/>
      <c r="D6" s="48">
        <f>ROUND($D$3*E6/$E$3,2)</f>
        <v>0</v>
      </c>
      <c r="E6" s="49">
        <f>E3-E5</f>
        <v>622.69000000000005</v>
      </c>
      <c r="F6" s="2885"/>
      <c r="G6" s="2879" t="s">
        <v>1796</v>
      </c>
      <c r="H6" s="1308" t="s">
        <v>1797</v>
      </c>
      <c r="I6" s="2880" t="e">
        <f>ROUND(F31/D31,2)</f>
        <v>#DIV/0!</v>
      </c>
      <c r="J6" s="2885"/>
      <c r="K6" s="2885"/>
      <c r="L6" s="2885"/>
      <c r="M6" s="2885"/>
      <c r="N6" s="2885"/>
      <c r="O6" s="2885"/>
      <c r="P6" s="2885"/>
    </row>
    <row r="7" spans="1:16" ht="15.75" thickBot="1">
      <c r="A7" s="3123"/>
      <c r="B7" s="3124"/>
      <c r="C7" s="3125"/>
      <c r="D7" s="1828" t="s">
        <v>1791</v>
      </c>
      <c r="E7" s="1832" t="s">
        <v>1798</v>
      </c>
      <c r="F7" s="2885"/>
      <c r="G7" s="2881" t="s">
        <v>1799</v>
      </c>
      <c r="H7" s="2882"/>
      <c r="I7" s="2883"/>
      <c r="J7" s="2885"/>
      <c r="K7" s="2885"/>
      <c r="L7" s="2885"/>
      <c r="M7" s="2885"/>
      <c r="N7" s="2885"/>
      <c r="O7" s="2885"/>
      <c r="P7" s="2885"/>
    </row>
    <row r="8" spans="1:16">
      <c r="A8" s="47" t="s">
        <v>1800</v>
      </c>
      <c r="B8" s="50" t="s">
        <v>1801</v>
      </c>
      <c r="C8" s="48" t="s">
        <v>1802</v>
      </c>
      <c r="D8" s="48">
        <f t="shared" ref="D8:D15" si="0">ROUND($D$3*E8/$E$3,2)</f>
        <v>0</v>
      </c>
      <c r="E8" s="51">
        <f>SUMIF('数据-基础表'!BB10:BK10,"地上",'数据-基础表'!BB5:BK5)</f>
        <v>467.02</v>
      </c>
      <c r="F8" s="2885"/>
      <c r="G8" s="2886"/>
      <c r="H8" s="2886"/>
      <c r="I8" s="2885"/>
      <c r="J8" s="2885"/>
      <c r="K8" s="2885"/>
      <c r="L8" s="2885"/>
      <c r="M8" s="2885"/>
      <c r="N8" s="2885"/>
      <c r="O8" s="2885"/>
      <c r="P8" s="2885"/>
    </row>
    <row r="9" spans="1:16">
      <c r="A9" s="1833"/>
      <c r="B9" s="1834"/>
      <c r="C9" s="48" t="s">
        <v>1803</v>
      </c>
      <c r="D9" s="48">
        <f t="shared" si="0"/>
        <v>0</v>
      </c>
      <c r="E9" s="52">
        <v>0</v>
      </c>
      <c r="F9" s="2885"/>
      <c r="G9" s="2886"/>
      <c r="H9" s="2886"/>
      <c r="I9" s="2885"/>
      <c r="J9" s="2885"/>
      <c r="K9" s="2885"/>
      <c r="L9" s="2885"/>
      <c r="M9" s="2885"/>
      <c r="N9" s="2885"/>
      <c r="O9" s="2885"/>
      <c r="P9" s="2885"/>
    </row>
    <row r="10" spans="1:16">
      <c r="A10" s="1833"/>
      <c r="B10" s="1834"/>
      <c r="C10" s="48" t="s">
        <v>1812</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1804</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1805</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1806</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1818</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1813</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1807</v>
      </c>
      <c r="D16" s="50">
        <f>SUM(D8:D15)</f>
        <v>0</v>
      </c>
      <c r="E16" s="53">
        <f>SUM(E8:E15)</f>
        <v>467.02</v>
      </c>
      <c r="F16" s="2885"/>
      <c r="G16" s="2886"/>
      <c r="H16" s="1835" t="s">
        <v>1819</v>
      </c>
      <c r="I16" s="1836"/>
      <c r="J16" s="1301"/>
      <c r="K16" s="3120" t="s">
        <v>1819</v>
      </c>
      <c r="L16" s="3121"/>
      <c r="M16" s="3121"/>
      <c r="N16" s="3121"/>
      <c r="O16" s="3121"/>
      <c r="P16" s="3122"/>
    </row>
    <row r="17" spans="1:19" ht="15">
      <c r="A17" s="1837" t="s">
        <v>1820</v>
      </c>
      <c r="B17" s="1838" t="s">
        <v>1821</v>
      </c>
      <c r="C17" s="1839" t="s">
        <v>1822</v>
      </c>
      <c r="D17" s="1840" t="s">
        <v>1810</v>
      </c>
      <c r="E17" s="1841" t="s">
        <v>1811</v>
      </c>
      <c r="F17" s="1842"/>
      <c r="G17" s="1843"/>
      <c r="H17" s="1844" t="s">
        <v>1823</v>
      </c>
      <c r="I17" s="1845" t="s">
        <v>1808</v>
      </c>
      <c r="J17" s="1301"/>
      <c r="K17" s="3117" t="s">
        <v>1824</v>
      </c>
      <c r="L17" s="3118"/>
      <c r="M17" s="3119"/>
      <c r="N17" s="3117" t="s">
        <v>1825</v>
      </c>
      <c r="O17" s="3118"/>
      <c r="P17" s="3119"/>
      <c r="R17" s="1827" t="s">
        <v>1826</v>
      </c>
      <c r="S17" s="60"/>
    </row>
    <row r="18" spans="1:19" ht="15">
      <c r="A18" s="1833"/>
      <c r="B18" s="1846"/>
      <c r="C18" s="1847"/>
      <c r="D18" s="1848"/>
      <c r="E18" s="1849" t="s">
        <v>1827</v>
      </c>
      <c r="F18" s="1850" t="s">
        <v>1828</v>
      </c>
      <c r="G18" s="1851" t="s">
        <v>1829</v>
      </c>
      <c r="H18" s="1172" t="s">
        <v>1830</v>
      </c>
      <c r="I18" s="1852" t="s">
        <v>1831</v>
      </c>
      <c r="J18" s="1301"/>
      <c r="K18" s="1172" t="s">
        <v>1832</v>
      </c>
      <c r="L18" s="1853" t="s">
        <v>1833</v>
      </c>
      <c r="M18" s="964" t="s">
        <v>1834</v>
      </c>
      <c r="N18" s="1172" t="s">
        <v>1832</v>
      </c>
      <c r="O18" s="1853" t="s">
        <v>1833</v>
      </c>
      <c r="P18" s="964" t="s">
        <v>1834</v>
      </c>
      <c r="R18" s="1157" t="s">
        <v>1835</v>
      </c>
      <c r="S18" s="1157" t="s">
        <v>1836</v>
      </c>
    </row>
    <row r="19" spans="1:19">
      <c r="A19" s="1854"/>
      <c r="B19" s="50" t="s">
        <v>1809</v>
      </c>
      <c r="C19" s="3384" t="s">
        <v>3088</v>
      </c>
      <c r="D19" s="48">
        <f>ROUND($D$3*E19/$E$3,2)</f>
        <v>0</v>
      </c>
      <c r="E19" s="56">
        <f t="shared" ref="E19:E26" si="1">SUM(F19:G19)</f>
        <v>622.69000000000005</v>
      </c>
      <c r="F19" s="3025">
        <f>'数据-基础表'!I5</f>
        <v>467.02</v>
      </c>
      <c r="G19" s="3026">
        <f>'数据-基础表'!K5</f>
        <v>155.67000000000007</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622.69000000000005</v>
      </c>
    </row>
    <row r="20" spans="1:19">
      <c r="A20" s="1858"/>
      <c r="B20" s="50" t="s">
        <v>1837</v>
      </c>
      <c r="C20" s="1855"/>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1837</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1837</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1837</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1837</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1837</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1837</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1838</v>
      </c>
      <c r="D27" s="1302">
        <f>SUM(D19:D26)</f>
        <v>0</v>
      </c>
      <c r="E27" s="1303">
        <f>IF(SUM(E19:E26)='数据-基础表'!BA5,SUM(E19:E26),IF(F27="地上面积有误","面积有误","地下面积有误"))</f>
        <v>622.69000000000005</v>
      </c>
      <c r="F27" s="1302">
        <f>IF(SUM(F19:F26)=E8,SUM(F19:F26),"地上面积有误")</f>
        <v>467.02</v>
      </c>
      <c r="G27" s="1304">
        <f>SUM(G19:G26)</f>
        <v>155.67000000000007</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622.69000000000005</v>
      </c>
    </row>
    <row r="28" spans="1:19">
      <c r="A28" s="1858"/>
      <c r="B28" s="50" t="s">
        <v>1839</v>
      </c>
      <c r="C28" s="1169" t="s">
        <v>1840</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1839</v>
      </c>
      <c r="C29" s="1862" t="s">
        <v>1841</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1838</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1842</v>
      </c>
      <c r="D31" s="685">
        <f>D27+D30</f>
        <v>0</v>
      </c>
      <c r="E31" s="685">
        <f>E27+E30</f>
        <v>622.69000000000005</v>
      </c>
      <c r="F31" s="686">
        <f>F27+F30</f>
        <v>467.02</v>
      </c>
      <c r="G31" s="687">
        <f>G27+G30</f>
        <v>155.67000000000007</v>
      </c>
      <c r="H31" s="2885"/>
      <c r="I31" s="2885"/>
      <c r="J31" s="2885"/>
      <c r="K31" s="2885"/>
      <c r="L31" s="2885"/>
      <c r="M31" s="2885"/>
      <c r="N31" s="2885"/>
      <c r="O31" s="2885"/>
      <c r="P31" s="2885"/>
    </row>
    <row r="32" spans="1:19">
      <c r="A32" s="1830"/>
      <c r="B32" s="1830" t="s">
        <v>1843</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J40" sqref="J40"/>
      <selection pane="topRight" activeCell="J40" sqref="J40"/>
      <selection pane="bottomLeft" activeCell="J40" sqref="J40"/>
      <selection pane="bottomRight" activeCell="F29" sqref="F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1844</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1845</v>
      </c>
      <c r="B2" s="1176">
        <f>项目基本情况!D3</f>
        <v>44187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1846</v>
      </c>
      <c r="B4" s="1876"/>
      <c r="C4" s="1877"/>
      <c r="D4" s="1878"/>
      <c r="E4" s="1877" t="s">
        <v>1847</v>
      </c>
      <c r="F4" s="1877"/>
      <c r="G4" s="1877"/>
      <c r="H4" s="1877"/>
      <c r="I4" s="1877"/>
      <c r="J4" s="1879"/>
      <c r="K4" s="1880"/>
      <c r="L4" s="1881"/>
      <c r="M4" s="1877"/>
      <c r="N4" s="1877" t="s">
        <v>1848</v>
      </c>
      <c r="O4" s="1877"/>
      <c r="P4" s="1877"/>
      <c r="Q4" s="1877"/>
      <c r="R4" s="1877"/>
      <c r="S4" s="1879"/>
      <c r="T4" s="2884" t="str">
        <f>'数据-汇总表'!I17</f>
        <v>按面积比例</v>
      </c>
      <c r="U4" s="1876" t="s">
        <v>1849</v>
      </c>
      <c r="V4" s="1877"/>
      <c r="W4" s="1877"/>
      <c r="X4" s="1877"/>
      <c r="Y4" s="1879"/>
      <c r="Z4" s="1839" t="s">
        <v>1850</v>
      </c>
      <c r="AA4" s="1839"/>
      <c r="AB4" s="1839"/>
      <c r="AC4" s="1839"/>
      <c r="AD4" s="1839"/>
      <c r="AE4" s="1837" t="s">
        <v>1851</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1852</v>
      </c>
      <c r="B5" s="1884" t="s">
        <v>1853</v>
      </c>
      <c r="C5" s="1885" t="s">
        <v>1854</v>
      </c>
      <c r="D5" s="1886" t="s">
        <v>1855</v>
      </c>
      <c r="E5" s="1178" t="s">
        <v>1856</v>
      </c>
      <c r="F5" s="1887" t="s">
        <v>1857</v>
      </c>
      <c r="G5" s="1178" t="s">
        <v>1858</v>
      </c>
      <c r="H5" s="1178" t="s">
        <v>1859</v>
      </c>
      <c r="I5" s="1178" t="s">
        <v>1860</v>
      </c>
      <c r="J5" s="1888" t="s">
        <v>1861</v>
      </c>
      <c r="K5" s="1889" t="s">
        <v>1862</v>
      </c>
      <c r="L5" s="1890" t="s">
        <v>1863</v>
      </c>
      <c r="M5" s="1891" t="s">
        <v>1864</v>
      </c>
      <c r="N5" s="1892" t="s">
        <v>1865</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工业立项办公楼</v>
      </c>
      <c r="B6" s="1901" t="str">
        <f>IF(A6=0,"","经营性")</f>
        <v>经营性</v>
      </c>
      <c r="C6" s="1902"/>
      <c r="D6" s="967">
        <f>SUMIF(项目基本情况!D$12:I$12,C6,项目基本情况!D$14:I$14)</f>
        <v>0</v>
      </c>
      <c r="E6" s="966">
        <f>IF(B6="","",SUMIF(项目基本情况!D$12:I$12,C6,项目基本情况!D$13:I$13))</f>
        <v>0</v>
      </c>
      <c r="F6" s="68">
        <f>SUMIF(项目基本情况!D$12:I$12,C6,项目基本情况!D$15:I$15)</f>
        <v>0</v>
      </c>
      <c r="G6" s="69">
        <f>IF(ISERROR(ROUND(POWER(1+H6,D6-F6)*(POWER(1+H6,F6)-1)/(POWER(1+H6,D6)-1),3)),0,ROUND(POWER(1+H6,D6-F6)*(POWER(1+H6,F6)-1)/(POWER(1+H6,D6)-1),3))</f>
        <v>0</v>
      </c>
      <c r="H6" s="741"/>
      <c r="I6" s="741"/>
      <c r="J6" s="70"/>
      <c r="K6" s="1161">
        <f>SUMIF('数据-汇总表'!C$19:C$33,A6,'数据-汇总表'!E$19:E$33)</f>
        <v>622.69000000000005</v>
      </c>
      <c r="L6" s="742"/>
      <c r="M6" s="71">
        <f t="shared" ref="M6:M14" si="0">ROUND(K6*L6/10000,0)</f>
        <v>0</v>
      </c>
      <c r="N6" s="740"/>
      <c r="O6" s="71">
        <f>IF($N$5="成新度","——",ROUND(M6*N6,0))</f>
        <v>0</v>
      </c>
      <c r="P6" s="72">
        <f>IF($N$5="成新度","——",M6-O6)</f>
        <v>0</v>
      </c>
      <c r="Q6" s="743"/>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3"/>
      <c r="AO6" s="55" t="e">
        <f ca="1">SUMIF(INDIRECT("'"&amp;AN6&amp;"'"&amp;"!A:A"),"总价",INDIRECT("'"&amp;AN6&amp;"'"&amp;"!B:B"))</f>
        <v>#REF!</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t="e">
        <f>ROUND(SUMPRODUCT(G6:G13,K6:K13)/SUMPRODUCT((G6:G13&gt;0)*(K6:K13)),3)</f>
        <v>#DIV/0!</v>
      </c>
      <c r="H16" s="95" t="e">
        <f>ROUND(SUMPRODUCT(H6:H13,K6:K13)/SUMPRODUCT((H6:H13&gt;0)*(K6:K13)),3)</f>
        <v>#DIV/0!</v>
      </c>
      <c r="I16" s="96"/>
      <c r="J16" s="96"/>
      <c r="K16" s="97">
        <f>SUM(K6:K15)</f>
        <v>622.69000000000005</v>
      </c>
      <c r="L16" s="98">
        <f>ROUND(M16*10000/SUM(K6:K14),0)</f>
        <v>0</v>
      </c>
      <c r="M16" s="98">
        <f>SUM(M6:M14)</f>
        <v>0</v>
      </c>
      <c r="N16" s="99" t="e">
        <f>ROUND(SUMPRODUCT(M6:M14,N6:N14)/M16,3)</f>
        <v>#DIV/0!</v>
      </c>
      <c r="O16" s="98">
        <f>SUM(O6:O14)</f>
        <v>0</v>
      </c>
      <c r="P16" s="98">
        <f>SUM(P6:P14)</f>
        <v>0</v>
      </c>
      <c r="Q16" s="100" t="e">
        <f>ROUND(SUMPRODUCT(Q6:Q13,K6:K13)/SUMPRODUCT((Q6:Q13&gt;0)*(K6:K13)),2)</f>
        <v>#DIV/0!</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1896</v>
      </c>
      <c r="B19" s="108"/>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1897</v>
      </c>
      <c r="B20" s="109"/>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1898</v>
      </c>
      <c r="B21" s="109"/>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1899</v>
      </c>
      <c r="B22" s="110">
        <f>B19+B20</f>
        <v>0</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1900</v>
      </c>
      <c r="B23" s="110">
        <f>B19+B21</f>
        <v>0</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1902</v>
      </c>
      <c r="B26" s="1914"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1905</v>
      </c>
      <c r="B27" s="112"/>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c r="C29" s="3032" t="s">
        <v>3038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c r="C33" s="3033" t="s">
        <v>3039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c r="C34" s="3033" t="s">
        <v>3040</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c r="C35" s="3033" t="s">
        <v>3041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c r="C36" s="3033" t="s">
        <v>3042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1915</v>
      </c>
      <c r="B37" s="120"/>
      <c r="C37" s="3033" t="s">
        <v>3043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1916</v>
      </c>
      <c r="B38" s="118"/>
      <c r="C38" s="3033" t="s">
        <v>3043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1918</v>
      </c>
      <c r="B40" s="1210" t="e">
        <f ca="1">存贷款利率!G1</f>
        <v>#VALUE!</v>
      </c>
      <c r="C40" s="3033" t="s">
        <v>3044</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1919</v>
      </c>
      <c r="B41" s="121">
        <f>B42+B43</f>
        <v>0</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1920</v>
      </c>
      <c r="B42" s="122"/>
      <c r="C42" s="2911">
        <f>IF(B2&lt;DATE(2016,5,1),0,B42)</f>
        <v>0</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1921</v>
      </c>
      <c r="B43" s="123">
        <f>B42*(B44+B45+B46)+B47</f>
        <v>0</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1922</v>
      </c>
      <c r="B44" s="124"/>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1923</v>
      </c>
      <c r="B45" s="122"/>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1924</v>
      </c>
      <c r="B46" s="122"/>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1925</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1926</v>
      </c>
      <c r="B48" s="126"/>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1927</v>
      </c>
      <c r="B49" s="122"/>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1930</v>
      </c>
      <c r="B52" s="129">
        <f>SUMIF(A54:A63,B53,B54:B63)</f>
        <v>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1931</v>
      </c>
      <c r="B53" s="1926"/>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J40" sqref="J40"/>
      <selection pane="topRight" activeCell="J40" sqref="J40"/>
      <selection pane="bottomLeft" activeCell="J40" sqref="J40"/>
      <selection pane="bottomRight" activeCell="J40" sqref="J40"/>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32" t="s">
        <v>3030</v>
      </c>
      <c r="B1" s="3133"/>
      <c r="C1" s="3133"/>
      <c r="D1" s="3133"/>
      <c r="E1" s="3133"/>
      <c r="F1" s="3133"/>
      <c r="G1" s="313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3025</v>
      </c>
      <c r="D2" s="2686"/>
      <c r="E2" s="2683"/>
      <c r="F2" s="2687"/>
      <c r="G2" s="2685" t="s">
        <v>3026</v>
      </c>
      <c r="H2" s="907"/>
      <c r="I2" s="907"/>
      <c r="J2" s="907"/>
      <c r="K2" s="907"/>
      <c r="L2" s="907"/>
      <c r="M2" s="907"/>
      <c r="N2" s="907"/>
      <c r="O2" s="907"/>
      <c r="P2" s="907"/>
      <c r="Q2" s="907"/>
      <c r="R2" s="907"/>
    </row>
    <row r="3" spans="1:29" ht="48">
      <c r="A3" s="2666" t="s">
        <v>3027</v>
      </c>
      <c r="B3" s="2688" t="s">
        <v>2996</v>
      </c>
      <c r="C3" s="2689" t="s">
        <v>3028</v>
      </c>
      <c r="D3" s="2690"/>
      <c r="E3" s="2667" t="s">
        <v>3027</v>
      </c>
      <c r="F3" s="2691" t="s">
        <v>2997</v>
      </c>
      <c r="G3" s="2692" t="s">
        <v>3029</v>
      </c>
      <c r="H3" s="907"/>
      <c r="I3" s="907"/>
      <c r="J3" s="907"/>
      <c r="K3" s="907"/>
      <c r="L3" s="907"/>
      <c r="M3" s="907"/>
      <c r="N3" s="907"/>
      <c r="O3" s="907"/>
      <c r="P3" s="907"/>
      <c r="Q3" s="907"/>
      <c r="R3" s="907"/>
    </row>
    <row r="4" spans="1:29" ht="36.75">
      <c r="A4" s="2667"/>
      <c r="B4" s="329" t="s">
        <v>2998</v>
      </c>
      <c r="C4" s="2693" t="s">
        <v>2999</v>
      </c>
      <c r="D4" s="2690"/>
      <c r="E4" s="2694"/>
      <c r="F4" s="1559" t="s">
        <v>3000</v>
      </c>
      <c r="G4" s="2695" t="s">
        <v>3001</v>
      </c>
      <c r="H4" s="907"/>
      <c r="I4" s="907"/>
      <c r="J4" s="907"/>
      <c r="K4" s="907"/>
      <c r="L4" s="907"/>
      <c r="M4" s="907"/>
      <c r="N4" s="907"/>
      <c r="O4" s="907"/>
      <c r="P4" s="907"/>
      <c r="Q4" s="907"/>
      <c r="R4" s="907"/>
    </row>
    <row r="5" spans="1:29" ht="36.75">
      <c r="A5" s="2667"/>
      <c r="B5" s="329" t="s">
        <v>3002</v>
      </c>
      <c r="C5" s="2693" t="s">
        <v>3003</v>
      </c>
      <c r="D5" s="2690"/>
      <c r="E5" s="2694"/>
      <c r="F5" s="329" t="s">
        <v>3004</v>
      </c>
      <c r="G5" s="2695" t="s">
        <v>3005</v>
      </c>
      <c r="H5" s="907"/>
      <c r="I5" s="907"/>
      <c r="J5" s="907"/>
      <c r="K5" s="907"/>
      <c r="L5" s="907"/>
      <c r="M5" s="907"/>
      <c r="N5" s="907"/>
      <c r="O5" s="907"/>
      <c r="P5" s="907"/>
      <c r="Q5" s="907"/>
      <c r="R5" s="907"/>
    </row>
    <row r="6" spans="1:29" ht="36">
      <c r="A6" s="2667"/>
      <c r="B6" s="329" t="s">
        <v>3006</v>
      </c>
      <c r="C6" s="2695" t="s">
        <v>3001</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c r="A8" s="2667"/>
      <c r="B8" s="329" t="s">
        <v>3007</v>
      </c>
      <c r="C8" s="2695" t="s">
        <v>3008</v>
      </c>
      <c r="D8" s="2696"/>
      <c r="E8" s="2696"/>
      <c r="F8" s="2700"/>
      <c r="G8" s="2700"/>
      <c r="H8" s="907"/>
      <c r="I8" s="907"/>
      <c r="J8" s="907"/>
      <c r="K8" s="907"/>
      <c r="L8" s="907"/>
      <c r="M8" s="907"/>
      <c r="N8" s="907"/>
      <c r="O8" s="907"/>
      <c r="P8" s="907"/>
      <c r="Q8" s="907"/>
      <c r="R8" s="907"/>
    </row>
    <row r="9" spans="1:29" ht="24">
      <c r="A9" s="2667"/>
      <c r="B9" s="329" t="s">
        <v>3011</v>
      </c>
      <c r="C9" s="2693" t="s">
        <v>3012</v>
      </c>
      <c r="D9" s="2690"/>
      <c r="E9" s="2696"/>
      <c r="F9" s="2700"/>
      <c r="G9" s="2700"/>
      <c r="H9" s="907"/>
      <c r="I9" s="907"/>
      <c r="J9" s="907"/>
      <c r="K9" s="907"/>
      <c r="L9" s="907"/>
      <c r="M9" s="907"/>
      <c r="N9" s="907"/>
      <c r="O9" s="907"/>
      <c r="P9" s="907"/>
      <c r="Q9" s="907"/>
      <c r="R9" s="907"/>
    </row>
    <row r="10" spans="1:29" s="2706" customFormat="1" ht="15" thickBot="1">
      <c r="A10" s="2668"/>
      <c r="B10" s="2701" t="s">
        <v>3013</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3031</v>
      </c>
      <c r="B13" s="2709"/>
      <c r="C13" s="2709"/>
      <c r="D13" s="2707"/>
      <c r="E13" s="2709"/>
      <c r="F13" s="2709"/>
      <c r="G13" s="2709"/>
    </row>
    <row r="14" spans="1:29" ht="15" thickBot="1">
      <c r="A14" s="2719"/>
      <c r="B14" s="2719"/>
      <c r="C14" s="2720" t="s">
        <v>3014</v>
      </c>
      <c r="D14" s="2690"/>
      <c r="E14" s="2721"/>
      <c r="F14" s="2721"/>
      <c r="G14" s="2685" t="s">
        <v>3015</v>
      </c>
    </row>
    <row r="15" spans="1:29" ht="51">
      <c r="A15" s="2669" t="s">
        <v>3016</v>
      </c>
      <c r="B15" s="2722" t="s">
        <v>2996</v>
      </c>
      <c r="C15" s="2723" t="str">
        <f>C3</f>
        <v>估价对象周边居住用地比例、居住小区规模和社区发展完善程度，综合评价居住社区成熟度一般</v>
      </c>
      <c r="D15" s="2690"/>
      <c r="E15" s="2670" t="s">
        <v>3017</v>
      </c>
      <c r="F15" s="2722" t="s">
        <v>3018</v>
      </c>
      <c r="G15" s="2724" t="str">
        <f>G3</f>
        <v>估价对象位于XX开发区，园区建设成熟度XX，产业集聚程度XX</v>
      </c>
    </row>
    <row r="16" spans="1:29" ht="38.25">
      <c r="A16" s="2671"/>
      <c r="B16" s="2725" t="s">
        <v>2998</v>
      </c>
      <c r="C16" s="2726" t="str">
        <f>C4</f>
        <v>估价对象位于XX商圈，周边商业氛围成熟，人流量大，商业繁华度好</v>
      </c>
      <c r="D16" s="2690"/>
      <c r="E16" s="2672"/>
      <c r="F16" s="2727" t="s">
        <v>3000</v>
      </c>
      <c r="G16" s="2728" t="str">
        <f>G4</f>
        <v>估价对象周边道路状况、公共交通通达情况、停车便捷程度，综合评价交通便捷度较好</v>
      </c>
    </row>
    <row r="17" spans="1:18" ht="38.25">
      <c r="A17" s="2671"/>
      <c r="B17" s="2725" t="s">
        <v>3002</v>
      </c>
      <c r="C17" s="2726" t="str">
        <f>C5</f>
        <v>估价对象位于XX商圈，周边办公楼项目较多，入驻率高，办公集聚程度较好</v>
      </c>
      <c r="D17" s="2696"/>
      <c r="E17" s="2672"/>
      <c r="F17" s="2727" t="s">
        <v>3019</v>
      </c>
      <c r="G17" s="2729"/>
    </row>
    <row r="18" spans="1:18" ht="38.25">
      <c r="A18" s="2671"/>
      <c r="B18" s="2727" t="s">
        <v>3006</v>
      </c>
      <c r="C18" s="2728" t="str">
        <f>C6</f>
        <v>估价对象周边道路状况、公共交通通达情况、停车便捷程度，综合评价交通便捷度较好</v>
      </c>
      <c r="D18" s="2696"/>
      <c r="E18" s="2672"/>
      <c r="F18" s="2727" t="s">
        <v>3009</v>
      </c>
      <c r="G18" s="2728" t="str">
        <f>G7</f>
        <v>该园区内是否有污染型企业，绿化情况，卫生条件，整体环境状况判断</v>
      </c>
    </row>
    <row r="19" spans="1:18" ht="25.5">
      <c r="A19" s="2671"/>
      <c r="B19" s="2727" t="s">
        <v>3020</v>
      </c>
      <c r="C19" s="2729"/>
      <c r="D19" s="2690"/>
      <c r="E19" s="2672"/>
      <c r="F19" s="329" t="s">
        <v>3004</v>
      </c>
      <c r="G19" s="2728" t="str">
        <f>G5</f>
        <v>估价对象所在区域公共配套设施齐备情况</v>
      </c>
    </row>
    <row r="20" spans="1:18" ht="25.5">
      <c r="A20" s="2671"/>
      <c r="B20" s="2727" t="s">
        <v>3021</v>
      </c>
      <c r="C20" s="2726" t="str">
        <f>C9</f>
        <v>区域自然环境：；人文环境；综合评价环境状况一般</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3022</v>
      </c>
      <c r="G21" s="2730"/>
    </row>
    <row r="22" spans="1:18" ht="13.5" customHeight="1">
      <c r="A22" s="2671"/>
      <c r="B22" s="329" t="s">
        <v>3007</v>
      </c>
      <c r="C22" s="2728" t="str">
        <f>C8</f>
        <v>估价对象所在区域基础设施水平</v>
      </c>
      <c r="D22" s="2690"/>
      <c r="E22" s="2672"/>
      <c r="F22" s="2727" t="s">
        <v>3013</v>
      </c>
      <c r="G22" s="2729"/>
    </row>
    <row r="23" spans="1:18" s="907" customFormat="1" ht="15" thickBot="1">
      <c r="A23" s="2671"/>
      <c r="B23" s="2727" t="s">
        <v>3022</v>
      </c>
      <c r="C23" s="2730"/>
      <c r="D23" s="1929"/>
      <c r="E23" s="2673"/>
      <c r="F23" s="2731" t="s">
        <v>3023</v>
      </c>
      <c r="G23" s="2732"/>
      <c r="H23" s="2716"/>
      <c r="I23" s="2717"/>
      <c r="J23" s="2716"/>
      <c r="K23" s="2716"/>
      <c r="L23" s="2717"/>
      <c r="M23" s="2716"/>
      <c r="N23" s="2716"/>
      <c r="O23" s="2717"/>
      <c r="P23" s="2716"/>
      <c r="Q23" s="2716"/>
      <c r="R23" s="2718"/>
    </row>
    <row r="24" spans="1:18" s="907" customFormat="1" ht="15" thickBot="1">
      <c r="A24" s="2674"/>
      <c r="B24" s="2731" t="s">
        <v>3024</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90" zoomScaleNormal="80" zoomScaleSheetLayoutView="90" workbookViewId="0">
      <selection activeCell="J40" sqref="J4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622.69000000000005</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44187</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t="e">
        <f ca="1">SUM(D14:D23)</f>
        <v>#REF!</v>
      </c>
      <c r="C5" s="2737" t="e">
        <f ca="1">ROUND(B5*10000/$B$1,0)</f>
        <v>#REF!</v>
      </c>
      <c r="D5" s="2737" t="e">
        <f ca="1">ROUND(B5*10000/$B$2,0)</f>
        <v>#REF!</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622.69000000000005</v>
      </c>
      <c r="C14" s="2743">
        <f>结果表!C118</f>
        <v>0</v>
      </c>
      <c r="D14" s="2743" t="e">
        <f ca="1">结果表!H118</f>
        <v>#REF!</v>
      </c>
      <c r="E14" s="2743" t="e">
        <f ca="1">ROUND(D14*10000/B14,0)</f>
        <v>#REF!</v>
      </c>
      <c r="F14" s="2743" t="e">
        <f ca="1">ROUND(D14*10000/C14,0)</f>
        <v>#REF!</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2"/>
      <c r="H15" s="1502"/>
      <c r="I15" s="2744"/>
      <c r="J15" s="2915"/>
      <c r="K15" s="2916"/>
    </row>
    <row r="16" spans="1:11" ht="16.5">
      <c r="A16" s="2742" t="s">
        <v>1314</v>
      </c>
      <c r="B16" s="2744"/>
      <c r="C16" s="2744"/>
      <c r="D16" s="2744"/>
      <c r="E16" s="2743" t="e">
        <f t="shared" si="0"/>
        <v>#DIV/0!</v>
      </c>
      <c r="F16" s="2743" t="e">
        <f t="shared" si="1"/>
        <v>#DIV/0!</v>
      </c>
      <c r="G16" s="1502"/>
      <c r="H16" s="1502"/>
      <c r="I16" s="2744"/>
      <c r="J16" s="2916"/>
      <c r="K16" s="2916"/>
    </row>
    <row r="17" spans="1:11" ht="16.5">
      <c r="A17" s="2742" t="s">
        <v>1313</v>
      </c>
      <c r="B17" s="2744"/>
      <c r="C17" s="2744"/>
      <c r="D17" s="2744"/>
      <c r="E17" s="2743" t="e">
        <f t="shared" si="0"/>
        <v>#DIV/0!</v>
      </c>
      <c r="F17" s="2743" t="e">
        <f t="shared" si="1"/>
        <v>#DIV/0!</v>
      </c>
      <c r="G17" s="1502"/>
      <c r="H17" s="1502"/>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64" zoomScale="90" zoomScaleNormal="100" zoomScaleSheetLayoutView="90" zoomScalePageLayoutView="80" workbookViewId="0">
      <selection activeCell="J40" sqref="J4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c r="H1" s="1938" t="str">
        <f>IF(G1="现房","——","估价对象范围")</f>
        <v>估价对象范围</v>
      </c>
      <c r="I1" s="1939"/>
    </row>
    <row r="2" spans="1:12" ht="21.75" customHeight="1" thickBot="1">
      <c r="A2" s="3168" t="str">
        <f>项目基本情况!S2</f>
        <v>北京市口子村东1号院36、47号楼-1至3层101号工业用房房地产</v>
      </c>
      <c r="B2" s="3169"/>
      <c r="C2" s="3169"/>
      <c r="D2" s="3169"/>
      <c r="E2" s="3169"/>
      <c r="F2" s="3169"/>
      <c r="G2" s="3169"/>
      <c r="H2" s="3169"/>
      <c r="I2" s="3170"/>
    </row>
    <row r="3" spans="1:12" ht="12.75">
      <c r="A3" s="3172" t="s">
        <v>1950</v>
      </c>
      <c r="B3" s="3173"/>
      <c r="C3" s="3173"/>
      <c r="D3" s="3173"/>
      <c r="E3" s="3173"/>
      <c r="F3" s="3173"/>
      <c r="G3" s="3173"/>
      <c r="H3" s="3173"/>
      <c r="I3" s="3173"/>
    </row>
    <row r="4" spans="1:12" ht="14.25">
      <c r="A4" s="1942" t="s">
        <v>1951</v>
      </c>
      <c r="B4" s="1943" t="s">
        <v>1952</v>
      </c>
      <c r="C4" s="1944"/>
      <c r="D4" s="1944"/>
      <c r="E4" s="3174" t="s">
        <v>1953</v>
      </c>
      <c r="F4" s="3175"/>
      <c r="G4" s="3175"/>
      <c r="H4" s="3175"/>
      <c r="I4" s="317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8" t="s">
        <v>1954</v>
      </c>
      <c r="B5" s="3135">
        <v>25</v>
      </c>
      <c r="C5" s="3151"/>
      <c r="D5" s="3171"/>
      <c r="E5" s="136" t="s">
        <v>1955</v>
      </c>
      <c r="F5" s="1945"/>
      <c r="G5" s="1945"/>
      <c r="H5" s="1945"/>
      <c r="I5" s="1559"/>
    </row>
    <row r="6" spans="1:12" ht="12.75">
      <c r="A6" s="3148"/>
      <c r="B6" s="3135"/>
      <c r="C6" s="3152"/>
      <c r="D6" s="3171"/>
      <c r="E6" s="136" t="s">
        <v>1956</v>
      </c>
      <c r="F6" s="1945"/>
      <c r="G6" s="1945"/>
      <c r="H6" s="1945"/>
      <c r="I6" s="1559"/>
    </row>
    <row r="7" spans="1:12" ht="12.75">
      <c r="A7" s="3148"/>
      <c r="B7" s="3135"/>
      <c r="C7" s="3153"/>
      <c r="D7" s="3171"/>
      <c r="E7" s="136" t="s">
        <v>1957</v>
      </c>
      <c r="F7" s="1945"/>
      <c r="G7" s="1945"/>
      <c r="H7" s="1945"/>
      <c r="I7" s="1559"/>
    </row>
    <row r="8" spans="1:12" ht="12.75">
      <c r="A8" s="3148" t="s">
        <v>1958</v>
      </c>
      <c r="B8" s="3135">
        <v>15</v>
      </c>
      <c r="C8" s="3151"/>
      <c r="D8" s="3171"/>
      <c r="E8" s="136" t="s">
        <v>1959</v>
      </c>
      <c r="F8" s="1945"/>
      <c r="G8" s="1945"/>
      <c r="H8" s="1945"/>
      <c r="I8" s="1559"/>
    </row>
    <row r="9" spans="1:12" ht="12.75">
      <c r="A9" s="3148"/>
      <c r="B9" s="3135"/>
      <c r="C9" s="3153"/>
      <c r="D9" s="3171"/>
      <c r="E9" s="136" t="s">
        <v>1960</v>
      </c>
      <c r="F9" s="1945"/>
      <c r="G9" s="1945"/>
      <c r="H9" s="1945"/>
      <c r="I9" s="1559"/>
    </row>
    <row r="10" spans="1:12" ht="12.75">
      <c r="A10" s="3148" t="s">
        <v>1961</v>
      </c>
      <c r="B10" s="3135">
        <v>15</v>
      </c>
      <c r="C10" s="3151"/>
      <c r="D10" s="3171"/>
      <c r="E10" s="136" t="s">
        <v>1962</v>
      </c>
      <c r="F10" s="1945"/>
      <c r="G10" s="1945"/>
      <c r="H10" s="1945"/>
      <c r="I10" s="1559"/>
    </row>
    <row r="11" spans="1:12" ht="12.75">
      <c r="A11" s="3148"/>
      <c r="B11" s="3135"/>
      <c r="C11" s="3153"/>
      <c r="D11" s="3171"/>
      <c r="E11" s="136" t="s">
        <v>1963</v>
      </c>
      <c r="F11" s="1945"/>
      <c r="G11" s="1945"/>
      <c r="H11" s="1945"/>
      <c r="I11" s="1559"/>
    </row>
    <row r="12" spans="1:12" ht="12.75">
      <c r="A12" s="3148" t="s">
        <v>1964</v>
      </c>
      <c r="B12" s="3135">
        <v>15</v>
      </c>
      <c r="C12" s="3151"/>
      <c r="D12" s="3171"/>
      <c r="E12" s="136" t="s">
        <v>1965</v>
      </c>
      <c r="F12" s="1945"/>
      <c r="G12" s="1945"/>
      <c r="H12" s="1945"/>
      <c r="I12" s="1559"/>
    </row>
    <row r="13" spans="1:12" ht="12.75">
      <c r="A13" s="3148"/>
      <c r="B13" s="3135"/>
      <c r="C13" s="3153"/>
      <c r="D13" s="3171"/>
      <c r="E13" s="136" t="s">
        <v>1966</v>
      </c>
      <c r="F13" s="1945"/>
      <c r="G13" s="1945"/>
      <c r="H13" s="1945"/>
      <c r="I13" s="1559"/>
    </row>
    <row r="14" spans="1:12" ht="12.75">
      <c r="A14" s="3148" t="s">
        <v>1967</v>
      </c>
      <c r="B14" s="3135">
        <v>30</v>
      </c>
      <c r="C14" s="3151"/>
      <c r="D14" s="3171"/>
      <c r="E14" s="136" t="s">
        <v>1968</v>
      </c>
      <c r="F14" s="1945"/>
      <c r="G14" s="1945"/>
      <c r="H14" s="1945"/>
      <c r="I14" s="1559"/>
    </row>
    <row r="15" spans="1:12" ht="12.75">
      <c r="A15" s="3148"/>
      <c r="B15" s="3135"/>
      <c r="C15" s="3152"/>
      <c r="D15" s="3171"/>
      <c r="E15" s="136" t="s">
        <v>1969</v>
      </c>
      <c r="F15" s="1945"/>
      <c r="G15" s="1945"/>
      <c r="H15" s="1945"/>
      <c r="I15" s="1559"/>
    </row>
    <row r="16" spans="1:12" ht="12.75">
      <c r="A16" s="3148"/>
      <c r="B16" s="3135"/>
      <c r="C16" s="3153"/>
      <c r="D16" s="3171"/>
      <c r="E16" s="136" t="s">
        <v>1970</v>
      </c>
      <c r="F16" s="1945"/>
      <c r="G16" s="1945"/>
      <c r="H16" s="1945"/>
      <c r="I16" s="1559"/>
    </row>
    <row r="17" spans="1:36" ht="15">
      <c r="A17" s="1946" t="s">
        <v>1971</v>
      </c>
      <c r="B17" s="60"/>
      <c r="C17" s="137">
        <f>SUM(C5:C16)</f>
        <v>0</v>
      </c>
      <c r="D17" s="137">
        <f>SUM(D5:D16)</f>
        <v>0</v>
      </c>
      <c r="E17" s="134"/>
      <c r="F17" s="134"/>
      <c r="G17" s="134"/>
      <c r="H17" s="134"/>
      <c r="I17" s="134"/>
      <c r="K17" s="308"/>
      <c r="L17" s="308" t="s">
        <v>1972</v>
      </c>
      <c r="M17" s="308" t="s">
        <v>1973</v>
      </c>
    </row>
    <row r="18" spans="1:36" ht="31.9" customHeight="1" thickBot="1">
      <c r="A18" s="1947" t="s">
        <v>1974</v>
      </c>
      <c r="B18" s="1948"/>
      <c r="C18" s="138" t="e">
        <f>ROUND(C17/SUM(C17:D17),2)</f>
        <v>#DIV/0!</v>
      </c>
      <c r="D18" s="138" t="e">
        <f>1-C18</f>
        <v>#DIV/0!</v>
      </c>
      <c r="E18" s="3158" t="s">
        <v>2874</v>
      </c>
      <c r="F18" s="3159"/>
      <c r="G18" s="3159"/>
      <c r="H18" s="3159"/>
      <c r="I18" s="3159"/>
      <c r="K18" s="308" t="s">
        <v>1975</v>
      </c>
      <c r="L18" s="308">
        <f>IF(C1="",'数据-汇总表'!E3,SUMIF(项目类型,C1,'数据-汇总表'!E17:E26)+SUMIF(项目类型,C1,'数据-汇总表'!I17:I26))</f>
        <v>622.69000000000005</v>
      </c>
      <c r="M18" s="308">
        <f>IF(C1="",'数据-汇总表'!E3,SUMIF(项目类型,C1,'数据-汇总表'!E17:E26))</f>
        <v>622.69000000000005</v>
      </c>
    </row>
    <row r="19" spans="1:36" ht="15">
      <c r="A19" s="1949" t="s">
        <v>1976</v>
      </c>
      <c r="B19" s="1950" t="s">
        <v>1977</v>
      </c>
      <c r="C19" s="139" t="e">
        <f ca="1">SUMIF(INDIRECT("'"&amp;C4&amp;"'"&amp;"!A:A"),结果表!B19,INDIRECT("'"&amp;C4&amp;"'"&amp;"!B:B"))</f>
        <v>#REF!</v>
      </c>
      <c r="D19" s="140" t="e">
        <f ca="1">SUMIF(INDIRECT("'"&amp;D4&amp;"'"&amp;"!A:A"),结果表!B19,INDIRECT("'"&amp;D4&amp;"'"&amp;"!B:B"))</f>
        <v>#REF!</v>
      </c>
      <c r="E19" s="1949" t="s">
        <v>1978</v>
      </c>
      <c r="F19" s="1950" t="s">
        <v>1977</v>
      </c>
      <c r="G19" s="141" t="e">
        <f ca="1">ROUND(C19*$C$18+D19*$D$18,0)</f>
        <v>#REF!</v>
      </c>
      <c r="H19" s="1951"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2"/>
      <c r="B20" s="1157" t="s">
        <v>1981</v>
      </c>
      <c r="C20" s="142" t="e">
        <f ca="1">SUMIF(INDIRECT("'"&amp;C4&amp;"'"&amp;"!A:A"),结果表!B20,INDIRECT("'"&amp;C4&amp;"'"&amp;"!B:B"))</f>
        <v>#REF!</v>
      </c>
      <c r="D20" s="143" t="e">
        <f ca="1">SUMIF(INDIRECT("'"&amp;D4&amp;"'"&amp;"!A:A"),结果表!B20,INDIRECT("'"&amp;D4&amp;"'"&amp;"!B:B"))</f>
        <v>#REF!</v>
      </c>
      <c r="E20" s="1952"/>
      <c r="F20" s="1157" t="s">
        <v>1981</v>
      </c>
      <c r="G20" s="144" t="e">
        <f ca="1">ROUND(C20*$C$18+D20*$D$18,0)</f>
        <v>#REF!</v>
      </c>
      <c r="H20" s="917" t="s">
        <v>1982</v>
      </c>
      <c r="I20" s="134"/>
    </row>
    <row r="21" spans="1:36" ht="15" customHeight="1" thickBot="1">
      <c r="A21" s="937"/>
      <c r="B21" s="1953" t="s">
        <v>1983</v>
      </c>
      <c r="C21" s="728" t="e">
        <f ca="1">ROUND(C19*10000/L19,0)</f>
        <v>#REF!</v>
      </c>
      <c r="D21" s="729" t="e">
        <f ca="1">ROUND(D19*10000/L19,0)</f>
        <v>#REF!</v>
      </c>
      <c r="E21" s="937"/>
      <c r="F21" s="1953" t="s">
        <v>1983</v>
      </c>
      <c r="G21" s="145" t="e">
        <f ca="1">ROUND(G19*10000/L19,0)</f>
        <v>#REF!</v>
      </c>
      <c r="H21" s="1954" t="s">
        <v>1982</v>
      </c>
      <c r="I21" s="134"/>
    </row>
    <row r="22" spans="1:36" ht="15" thickBot="1">
      <c r="A22" s="1876" t="s">
        <v>1984</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142" t="s">
        <v>1985</v>
      </c>
      <c r="B24" s="1950" t="s">
        <v>1977</v>
      </c>
      <c r="C24" s="141">
        <f>IF(B30=0,0,D30)</f>
        <v>0</v>
      </c>
      <c r="D24" s="1957"/>
      <c r="E24" s="134"/>
      <c r="F24" s="134"/>
      <c r="G24" s="134"/>
      <c r="H24" s="134"/>
      <c r="I24" s="134"/>
    </row>
    <row r="25" spans="1:36" ht="14.25">
      <c r="A25" s="3143"/>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17"/>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t="e">
        <f ca="1">IF(D32="总价",G19-C24,G20-C25)</f>
        <v>#REF!</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162" t="s">
        <v>1998</v>
      </c>
      <c r="B36" s="1975" t="s">
        <v>1999</v>
      </c>
      <c r="C36" s="150"/>
      <c r="D36" s="1976"/>
      <c r="E36" s="1977"/>
      <c r="F36" s="1978"/>
      <c r="G36" s="134"/>
      <c r="H36" s="134"/>
      <c r="I36" s="134"/>
    </row>
    <row r="37" spans="1:15" ht="15.75" thickBot="1">
      <c r="A37" s="3163"/>
      <c r="B37" s="1862" t="s">
        <v>2000</v>
      </c>
      <c r="C37" s="152"/>
      <c r="D37" s="1301"/>
      <c r="E37" s="1301"/>
      <c r="F37" s="1978"/>
      <c r="G37" s="134"/>
      <c r="H37" s="134"/>
      <c r="I37" s="134"/>
    </row>
    <row r="38" spans="1:15" ht="15.75" thickBot="1">
      <c r="A38" s="3164"/>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139" t="s">
        <v>2012</v>
      </c>
      <c r="B45" s="3140"/>
      <c r="C45" s="3141"/>
      <c r="D45" s="160" t="e">
        <f ca="1">ROUND(H101*F45,0)</f>
        <v>#REF!</v>
      </c>
      <c r="E45" s="161" t="s">
        <v>2013</v>
      </c>
      <c r="F45" s="162">
        <v>1</v>
      </c>
      <c r="G45" s="163" t="s">
        <v>2014</v>
      </c>
      <c r="H45" s="134"/>
      <c r="I45" s="134"/>
      <c r="J45" s="3220" t="s">
        <v>2015</v>
      </c>
      <c r="K45" s="3220"/>
      <c r="L45" s="3220"/>
      <c r="M45" s="3220"/>
      <c r="N45" s="3220"/>
      <c r="O45" s="3220"/>
    </row>
    <row r="46" spans="1:15" ht="14.25" customHeight="1">
      <c r="A46" s="3136" t="s">
        <v>2016</v>
      </c>
      <c r="B46" s="3137"/>
      <c r="C46" s="3137"/>
      <c r="D46" s="3137"/>
      <c r="E46" s="3137"/>
      <c r="F46" s="3137"/>
      <c r="G46" s="3138"/>
      <c r="H46" s="1994"/>
      <c r="I46" s="164"/>
      <c r="J46" s="2748">
        <v>1</v>
      </c>
      <c r="K46" s="3201" t="s">
        <v>2017</v>
      </c>
      <c r="L46" s="3201"/>
      <c r="M46" s="3221"/>
      <c r="N46" s="3221"/>
      <c r="O46" s="3221"/>
    </row>
    <row r="47" spans="1:15" ht="12" customHeight="1">
      <c r="A47" s="165" t="s">
        <v>2018</v>
      </c>
      <c r="B47" s="166"/>
      <c r="C47" s="167"/>
      <c r="D47" s="1247" t="s">
        <v>2019</v>
      </c>
      <c r="E47" s="308" t="s">
        <v>2020</v>
      </c>
      <c r="F47" s="168" t="s">
        <v>2021</v>
      </c>
      <c r="G47" s="2771" t="s">
        <v>2022</v>
      </c>
      <c r="H47" s="2772"/>
      <c r="I47" s="164"/>
      <c r="J47" s="2748">
        <v>2</v>
      </c>
      <c r="K47" s="3201" t="s">
        <v>2023</v>
      </c>
      <c r="L47" s="3201"/>
      <c r="M47" s="3222">
        <f>'数据-取费表'!B2</f>
        <v>44187</v>
      </c>
      <c r="N47" s="3222"/>
      <c r="O47" s="3222"/>
    </row>
    <row r="48" spans="1:15" ht="25.5">
      <c r="A48" s="3167" t="s">
        <v>2024</v>
      </c>
      <c r="B48" s="3150"/>
      <c r="C48" s="3150"/>
      <c r="D48" s="2549" t="b">
        <f>IF(H48="情况1",0,IF(H48="情况2",D52,IF(H48="情况3",D53,IF(H48="情况4",D54))))</f>
        <v>0</v>
      </c>
      <c r="E48" s="2559" t="str">
        <f>IF(H48="情况4","(销售额-原购置价)×税（费）率","销售额×税（费）率")</f>
        <v>销售额×税（费）率</v>
      </c>
      <c r="F48" s="2773">
        <f>IF(H48="情况1","免征",'数据-取费表'!B41)</f>
        <v>0</v>
      </c>
      <c r="G48" s="2774" t="s">
        <v>2025</v>
      </c>
      <c r="H48" s="2775"/>
      <c r="I48" s="1994"/>
      <c r="J48" s="2748">
        <v>3</v>
      </c>
      <c r="K48" s="3201" t="s">
        <v>2026</v>
      </c>
      <c r="L48" s="3201"/>
      <c r="M48" s="3223" t="e">
        <f ca="1">H101</f>
        <v>#REF!</v>
      </c>
      <c r="N48" s="3223"/>
      <c r="O48" s="3223"/>
    </row>
    <row r="49" spans="1:35" ht="25.5" customHeight="1">
      <c r="A49" s="2558" t="s">
        <v>2027</v>
      </c>
      <c r="B49" s="3134" t="s">
        <v>2028</v>
      </c>
      <c r="C49" s="3134"/>
      <c r="D49" s="1777">
        <v>0</v>
      </c>
      <c r="E49" s="330" t="s">
        <v>2029</v>
      </c>
      <c r="F49" s="2649" t="s">
        <v>34</v>
      </c>
      <c r="G49" s="3207"/>
      <c r="H49" s="2530" t="s">
        <v>2877</v>
      </c>
      <c r="I49" s="2531"/>
      <c r="J49" s="2748">
        <v>4</v>
      </c>
      <c r="K49" s="3201" t="str">
        <f>IF(项目基本情况!E8="房地产抵押价值","房地产抵押价值","抵押担保权已注销时的房地产抵押价值")</f>
        <v>房地产抵押价值</v>
      </c>
      <c r="L49" s="3201"/>
      <c r="M49" s="3223" t="str">
        <f ca="1">IF(项目基本情况!E8="房地产抵押价值",H107,H109)</f>
        <v>——</v>
      </c>
      <c r="N49" s="3223"/>
      <c r="O49" s="3223"/>
    </row>
    <row r="50" spans="1:35" ht="25.5" customHeight="1">
      <c r="A50" s="2776"/>
      <c r="B50" s="3134" t="s">
        <v>2030</v>
      </c>
      <c r="C50" s="3134"/>
      <c r="D50" s="2777"/>
      <c r="E50" s="338"/>
      <c r="F50" s="2649"/>
      <c r="G50" s="3208"/>
      <c r="H50" s="2532" t="s">
        <v>2878</v>
      </c>
      <c r="I50" s="2531"/>
      <c r="J50" s="3220" t="s">
        <v>2031</v>
      </c>
      <c r="K50" s="3220"/>
      <c r="L50" s="3220"/>
      <c r="M50" s="3220"/>
      <c r="N50" s="3220"/>
      <c r="O50" s="3220"/>
    </row>
    <row r="51" spans="1:35" ht="20.45" customHeight="1">
      <c r="A51" s="2778"/>
      <c r="B51" s="3134" t="s">
        <v>2032</v>
      </c>
      <c r="C51" s="3134"/>
      <c r="D51" s="1247"/>
      <c r="E51" s="333"/>
      <c r="F51" s="2649"/>
      <c r="G51" s="3209"/>
      <c r="H51" s="2532" t="s">
        <v>2879</v>
      </c>
      <c r="I51" s="2531"/>
      <c r="J51" s="2749" t="s">
        <v>2033</v>
      </c>
      <c r="K51" s="3201" t="s">
        <v>2034</v>
      </c>
      <c r="L51" s="3201"/>
      <c r="M51" s="2749" t="s">
        <v>2035</v>
      </c>
      <c r="N51" s="2749" t="s">
        <v>2036</v>
      </c>
      <c r="O51" s="2749" t="s">
        <v>2037</v>
      </c>
    </row>
    <row r="52" spans="1:35" ht="24" customHeight="1">
      <c r="A52" s="2560" t="s">
        <v>2038</v>
      </c>
      <c r="B52" s="3134" t="s">
        <v>2039</v>
      </c>
      <c r="C52" s="3134"/>
      <c r="D52" s="1247" t="e">
        <f ca="1">ROUND(D45*'数据-取费表'!B41/(1+'数据-取费表'!C42),0)</f>
        <v>#REF!</v>
      </c>
      <c r="E52" s="2559" t="s">
        <v>2040</v>
      </c>
      <c r="F52" s="2779">
        <f>'数据-取费表'!B41</f>
        <v>0</v>
      </c>
      <c r="G52" s="2780"/>
      <c r="H52" s="2769"/>
      <c r="I52" s="1995"/>
      <c r="J52" s="2748">
        <v>1</v>
      </c>
      <c r="K52" s="3202" t="s">
        <v>2041</v>
      </c>
      <c r="L52" s="3202"/>
      <c r="M52" s="2750" t="b">
        <f>D48</f>
        <v>0</v>
      </c>
      <c r="N52" s="2748" t="str">
        <f>E48</f>
        <v>销售额×税（费）率</v>
      </c>
      <c r="O52" s="2751">
        <f>F48</f>
        <v>0</v>
      </c>
    </row>
    <row r="53" spans="1:35" ht="12" customHeight="1">
      <c r="A53" s="2560" t="s">
        <v>2042</v>
      </c>
      <c r="B53" s="3160" t="s">
        <v>3035</v>
      </c>
      <c r="C53" s="3161"/>
      <c r="D53" s="1247" t="e">
        <f ca="1">ROUND(D45*'数据-取费表'!B41/(1+'数据-取费表'!C42),0)</f>
        <v>#REF!</v>
      </c>
      <c r="E53" s="2559" t="s">
        <v>2040</v>
      </c>
      <c r="F53" s="2779">
        <f>'数据-取费表'!B41</f>
        <v>0</v>
      </c>
      <c r="G53" s="2780"/>
      <c r="H53" s="2769"/>
      <c r="I53" s="1995"/>
      <c r="J53" s="2748">
        <v>2</v>
      </c>
      <c r="K53" s="3202" t="s">
        <v>2043</v>
      </c>
      <c r="L53" s="3202"/>
      <c r="M53" s="2750" t="e">
        <f t="shared" ref="M53:O54" ca="1" si="0">D55</f>
        <v>#REF!</v>
      </c>
      <c r="N53" s="2748" t="str">
        <f t="shared" si="0"/>
        <v>销售额×税（费）率</v>
      </c>
      <c r="O53" s="2751" t="str">
        <f t="shared" si="0"/>
        <v>免征</v>
      </c>
    </row>
    <row r="54" spans="1:35" ht="12" customHeight="1">
      <c r="A54" s="2560" t="s">
        <v>2044</v>
      </c>
      <c r="B54" s="3160" t="s">
        <v>3036</v>
      </c>
      <c r="C54" s="3161"/>
      <c r="D54" s="1247" t="e">
        <f ca="1">C68</f>
        <v>#REF!</v>
      </c>
      <c r="E54" s="333" t="s">
        <v>2045</v>
      </c>
      <c r="F54" s="2779">
        <f>'数据-取费表'!B41</f>
        <v>0</v>
      </c>
      <c r="G54" s="2780"/>
      <c r="H54" s="2781"/>
      <c r="I54" s="1995"/>
      <c r="J54" s="2748">
        <v>3</v>
      </c>
      <c r="K54" s="3202" t="s">
        <v>2046</v>
      </c>
      <c r="L54" s="3202"/>
      <c r="M54" s="2750" t="e">
        <f t="shared" ca="1" si="0"/>
        <v>#REF!</v>
      </c>
      <c r="N54" s="2748" t="str">
        <f t="shared" si="0"/>
        <v>增值额×税（费）率</v>
      </c>
      <c r="O54" s="2752" t="str">
        <f t="shared" si="0"/>
        <v>免征</v>
      </c>
    </row>
    <row r="55" spans="1:35" ht="24" customHeight="1">
      <c r="A55" s="3149" t="s">
        <v>2047</v>
      </c>
      <c r="B55" s="3150"/>
      <c r="C55" s="3150"/>
      <c r="D55" s="2549" t="e">
        <f ca="1">IF(H55="个人住宅",0,ROUND(D45*I55,0))</f>
        <v>#REF!</v>
      </c>
      <c r="E55" s="2559" t="s">
        <v>2048</v>
      </c>
      <c r="F55" s="2779" t="str">
        <f>IF(H55="正常",I55,"免征")</f>
        <v>免征</v>
      </c>
      <c r="G55" s="2780"/>
      <c r="H55" s="2775"/>
      <c r="I55" s="170">
        <f>'数据-取费表'!B49</f>
        <v>0</v>
      </c>
      <c r="J55" s="2748">
        <f>IF(H59="非个人房产","",4)</f>
        <v>4</v>
      </c>
      <c r="K55" s="3202" t="str">
        <f>IF(H59="非个人房产","——","个人所得税")</f>
        <v>个人所得税</v>
      </c>
      <c r="L55" s="3202"/>
      <c r="M55" s="2753" t="e">
        <f ca="1">D59</f>
        <v>#REF!</v>
      </c>
      <c r="N55" s="2230" t="str">
        <f>E59</f>
        <v>差额计税</v>
      </c>
      <c r="O55" s="2754">
        <f>F59</f>
        <v>0.01</v>
      </c>
    </row>
    <row r="56" spans="1:35" ht="24.75">
      <c r="A56" s="3149" t="s">
        <v>2049</v>
      </c>
      <c r="B56" s="3150"/>
      <c r="C56" s="3150"/>
      <c r="D56" s="2549" t="e">
        <f ca="1">IF(H56="个人住宅",D57,D58)</f>
        <v>#REF!</v>
      </c>
      <c r="E56" s="2559" t="s">
        <v>2050</v>
      </c>
      <c r="F56" s="2779" t="str">
        <f>IF(H56="正常",F58,"免征")</f>
        <v>免征</v>
      </c>
      <c r="G56" s="2782" t="s">
        <v>2051</v>
      </c>
      <c r="H56" s="2783"/>
      <c r="I56" s="1996"/>
      <c r="J56" s="2748" t="str">
        <f>IF(项目基本情况!K6="上海银行",IF(J55="",4,J55+1),"")</f>
        <v/>
      </c>
      <c r="K56" s="3225" t="str">
        <f>IF(项目基本情况!K6="上海银行","其他处置费用","")</f>
        <v/>
      </c>
      <c r="L56" s="3226"/>
      <c r="M56" s="2750" t="str">
        <f>IF(项目基本情况!K6="上海银行",M69,"")</f>
        <v/>
      </c>
      <c r="N56" s="3225" t="str">
        <f>IF(项目基本情况!K6="上海银行","包含处置中涉及的律师、诉讼、拍卖、评估等费用","")</f>
        <v/>
      </c>
      <c r="O56" s="3228"/>
    </row>
    <row r="57" spans="1:35" ht="12.75">
      <c r="A57" s="2560" t="s">
        <v>2027</v>
      </c>
      <c r="B57" s="3160" t="s">
        <v>2052</v>
      </c>
      <c r="C57" s="3161"/>
      <c r="D57" s="1777">
        <v>0</v>
      </c>
      <c r="E57" s="330" t="s">
        <v>2029</v>
      </c>
      <c r="F57" s="308"/>
      <c r="G57" s="2780"/>
      <c r="H57" s="2784"/>
      <c r="I57" s="1996"/>
      <c r="J57" s="3202">
        <f>IF(AND(J55="",J56=""),4,IF(项目基本情况!K6="上海银行",结果表!J56+1,结果表!J55+1))</f>
        <v>5</v>
      </c>
      <c r="K57" s="3202" t="s">
        <v>2053</v>
      </c>
      <c r="L57" s="2755" t="s">
        <v>2054</v>
      </c>
      <c r="M57" s="2756"/>
      <c r="N57" s="2757">
        <f ca="1">SUMIF(M52:M56,"&lt;9e307")</f>
        <v>0</v>
      </c>
      <c r="O57" s="2758"/>
      <c r="P57" s="2918" t="e">
        <f ca="1">N57/M49</f>
        <v>#VALUE!</v>
      </c>
    </row>
    <row r="58" spans="1:35" ht="24.75">
      <c r="A58" s="2560" t="s">
        <v>2038</v>
      </c>
      <c r="B58" s="3160" t="s">
        <v>2055</v>
      </c>
      <c r="C58" s="3134"/>
      <c r="D58" s="2549" t="e">
        <f ca="1">IF(H58="转让取得",C81,C97)</f>
        <v>#REF!</v>
      </c>
      <c r="E58" s="2559" t="s">
        <v>2050</v>
      </c>
      <c r="F58" s="308" t="s">
        <v>34</v>
      </c>
      <c r="G58" s="2780"/>
      <c r="H58" s="2783"/>
      <c r="I58" s="1996"/>
      <c r="J58" s="3202"/>
      <c r="K58" s="3202"/>
      <c r="L58" s="2755" t="s">
        <v>2056</v>
      </c>
      <c r="M58" s="2759"/>
      <c r="N58" s="2760" t="str">
        <f ca="1">NUMBERSTRING(INT(N57*10000),2)&amp;"元整"</f>
        <v>零元整</v>
      </c>
      <c r="O58" s="2761"/>
    </row>
    <row r="59" spans="1:35" ht="24.75" thickBot="1">
      <c r="A59" s="3205" t="s">
        <v>2057</v>
      </c>
      <c r="B59" s="3206"/>
      <c r="C59" s="3206"/>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4"/>
      <c r="I59" s="2533" t="s">
        <v>2880</v>
      </c>
      <c r="J59" s="3203">
        <f>J57+1</f>
        <v>6</v>
      </c>
      <c r="K59" s="3202" t="s">
        <v>2058</v>
      </c>
      <c r="L59" s="2748" t="s">
        <v>2054</v>
      </c>
      <c r="M59" s="2762"/>
      <c r="N59" s="2763" t="e">
        <f ca="1">M49-N57</f>
        <v>#VALUE!</v>
      </c>
      <c r="O59" s="2764"/>
    </row>
    <row r="60" spans="1:35" ht="12" customHeight="1">
      <c r="A60" s="1997"/>
      <c r="B60" s="1935"/>
      <c r="C60" s="1935"/>
      <c r="D60" s="1935"/>
      <c r="E60" s="1765"/>
      <c r="F60" s="1996"/>
      <c r="G60" s="1996"/>
      <c r="H60" s="1998"/>
      <c r="I60" s="134"/>
      <c r="J60" s="3204"/>
      <c r="K60" s="3202"/>
      <c r="L60" s="2755" t="s">
        <v>2056</v>
      </c>
      <c r="M60" s="2759"/>
      <c r="N60" s="2760" t="e">
        <f ca="1">NUMBERSTRING(INT(N59*10000),2)&amp;"元整"</f>
        <v>#VALUE!</v>
      </c>
      <c r="O60" s="2761"/>
    </row>
    <row r="61" spans="1:35" ht="13.5" thickBot="1">
      <c r="A61" s="3147" t="s">
        <v>2059</v>
      </c>
      <c r="B61" s="3147"/>
      <c r="C61" s="3147"/>
      <c r="D61" s="3147"/>
      <c r="E61" s="3147"/>
      <c r="F61" s="1996"/>
      <c r="G61" s="1996"/>
      <c r="H61" s="1998"/>
      <c r="I61" s="134"/>
      <c r="J61" s="2748">
        <f>J59+1</f>
        <v>7</v>
      </c>
      <c r="K61" s="3202" t="s">
        <v>2060</v>
      </c>
      <c r="L61" s="3202"/>
      <c r="M61" s="2765"/>
      <c r="N61" s="2766" t="e">
        <f ca="1">ROUND(N59*10000/'数据-汇总表'!E3,0)</f>
        <v>#VALUE!</v>
      </c>
      <c r="O61" s="2767"/>
    </row>
    <row r="62" spans="1:35" ht="12.75">
      <c r="A62" s="3165" t="s">
        <v>2061</v>
      </c>
      <c r="B62" s="3166"/>
      <c r="C62" s="2211"/>
      <c r="D62" s="2211" t="s">
        <v>2062</v>
      </c>
      <c r="E62" s="171" t="s">
        <v>2063</v>
      </c>
      <c r="F62" s="1996"/>
      <c r="G62" s="1996"/>
      <c r="H62" s="1998"/>
      <c r="I62" s="134"/>
    </row>
    <row r="63" spans="1:35" ht="12.75">
      <c r="A63" s="178" t="s">
        <v>775</v>
      </c>
      <c r="B63" s="172" t="s">
        <v>2064</v>
      </c>
      <c r="C63" s="2789" t="e">
        <f ca="1">ROUND((C64+C65)/(1+'数据-取费表'!C42),0)</f>
        <v>#REF!</v>
      </c>
      <c r="D63" s="172"/>
      <c r="E63" s="173"/>
      <c r="F63" s="1996"/>
      <c r="G63" s="1996"/>
      <c r="H63" s="1998"/>
      <c r="I63" s="134"/>
      <c r="J63" s="3227" t="s">
        <v>2065</v>
      </c>
      <c r="K63" s="1503" t="s">
        <v>2066</v>
      </c>
      <c r="L63" s="1503" t="e">
        <f ca="1">IF(M49&gt;10000,M49*0.5%,IF(AND(M49&gt;1000,M49&lt;=10000),M49*1%,IF(AND(M49&gt;100,M49&lt;=1000),M49*3%,IF(AND(M49&gt;10,M49&lt;=100),M49*5%,M49*8%))))</f>
        <v>#VALUE!</v>
      </c>
      <c r="M63" s="308" t="e">
        <f ca="1">ROUND(L63,1)</f>
        <v>#VALUE!</v>
      </c>
      <c r="N63" s="2768"/>
      <c r="Z63" s="1940"/>
      <c r="AI63" s="1941"/>
    </row>
    <row r="64" spans="1:35" ht="14.25" customHeight="1">
      <c r="A64" s="174" t="s">
        <v>770</v>
      </c>
      <c r="B64" s="175" t="s">
        <v>2067</v>
      </c>
      <c r="C64" s="2790" t="e">
        <f ca="1">D45</f>
        <v>#REF!</v>
      </c>
      <c r="D64" s="175" t="s">
        <v>32</v>
      </c>
      <c r="E64" s="177"/>
      <c r="F64" s="1996"/>
      <c r="G64" s="1996"/>
      <c r="H64" s="1998"/>
      <c r="I64" s="134"/>
      <c r="J64" s="3227"/>
      <c r="K64" s="1503" t="s">
        <v>2068</v>
      </c>
      <c r="L64" s="150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9" t="s">
        <v>2069</v>
      </c>
      <c r="Z64" s="1940"/>
      <c r="AI64" s="1941"/>
    </row>
    <row r="65" spans="1:35" ht="14.25" customHeight="1">
      <c r="A65" s="174" t="s">
        <v>771</v>
      </c>
      <c r="B65" s="175" t="s">
        <v>2070</v>
      </c>
      <c r="C65" s="2791"/>
      <c r="D65" s="175"/>
      <c r="E65" s="177"/>
      <c r="F65" s="1996"/>
      <c r="G65" s="1996"/>
      <c r="H65" s="1998"/>
      <c r="I65" s="134"/>
      <c r="J65" s="3227"/>
      <c r="K65" s="1503" t="s">
        <v>2071</v>
      </c>
      <c r="L65" s="1503" t="e">
        <f ca="1">IF(M49&gt;1000,M49*0.1%,IF(AND(M49&gt;500,M49&lt;=1000),M49*0.5%,IF(AND(M49&gt;50,M49&lt;=500),M49*1%,IF(AND(M49&gt;1,M49&lt;=50),M49*1.5%))))</f>
        <v>#VALUE!</v>
      </c>
      <c r="M65" s="308" t="e">
        <f t="shared" ca="1" si="1"/>
        <v>#VALUE!</v>
      </c>
      <c r="N65" s="2769" t="s">
        <v>2069</v>
      </c>
      <c r="Z65" s="1940"/>
      <c r="AI65" s="1941"/>
    </row>
    <row r="66" spans="1:35" ht="14.25" customHeight="1">
      <c r="A66" s="178" t="s">
        <v>772</v>
      </c>
      <c r="B66" s="179" t="s">
        <v>2072</v>
      </c>
      <c r="C66" s="2792"/>
      <c r="D66" s="179" t="s">
        <v>32</v>
      </c>
      <c r="E66" s="1511" t="s">
        <v>1337</v>
      </c>
      <c r="F66" s="1996"/>
      <c r="G66" s="1996"/>
      <c r="H66" s="1998"/>
      <c r="I66" s="134"/>
      <c r="J66" s="3227"/>
      <c r="K66" s="1503" t="s">
        <v>2073</v>
      </c>
      <c r="L66" s="1503" t="e">
        <f ca="1">M49*0.5%</f>
        <v>#VALUE!</v>
      </c>
      <c r="M66" s="308" t="e">
        <f ca="1">IF(L66&gt;0.5,0.5,ROUND(L66,0))</f>
        <v>#VALUE!</v>
      </c>
      <c r="N66" s="2769" t="s">
        <v>2074</v>
      </c>
      <c r="Z66" s="1940"/>
      <c r="AI66" s="1941"/>
    </row>
    <row r="67" spans="1:35" ht="14.25" customHeight="1">
      <c r="A67" s="178" t="s">
        <v>773</v>
      </c>
      <c r="B67" s="179" t="s">
        <v>2075</v>
      </c>
      <c r="C67" s="2793" t="e">
        <f ca="1">C63-C66</f>
        <v>#REF!</v>
      </c>
      <c r="D67" s="175" t="s">
        <v>32</v>
      </c>
      <c r="E67" s="177"/>
      <c r="F67" s="1996"/>
      <c r="G67" s="1996"/>
      <c r="H67" s="1998"/>
      <c r="I67" s="134"/>
      <c r="J67" s="3227"/>
      <c r="K67" s="1503" t="s">
        <v>2076</v>
      </c>
      <c r="L67" s="150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8"/>
      <c r="Z67" s="1940"/>
      <c r="AI67" s="1941"/>
    </row>
    <row r="68" spans="1:35" ht="14.25" customHeight="1" thickBot="1">
      <c r="A68" s="181" t="s">
        <v>774</v>
      </c>
      <c r="B68" s="182" t="s">
        <v>2077</v>
      </c>
      <c r="C68" s="2794" t="e">
        <f ca="1">IF(C67&lt;=0,0,ROUND(C67*D68,0))</f>
        <v>#REF!</v>
      </c>
      <c r="D68" s="2795">
        <f>'数据-取费表'!B41</f>
        <v>0</v>
      </c>
      <c r="E68" s="184"/>
      <c r="F68" s="1996"/>
      <c r="G68" s="1996"/>
      <c r="H68" s="1998"/>
      <c r="I68" s="134"/>
      <c r="J68" s="3227"/>
      <c r="K68" s="1503" t="s">
        <v>2078</v>
      </c>
      <c r="L68" s="1503" t="e">
        <f ca="1">IF(M49&gt;10000,M49*0.5%,IF(AND(M49&gt;5000,M49&lt;=10000),M49*1%,IF(AND(M49&gt;1000,M49&lt;=5000),M49*2%,IF(AND(M49&gt;200,M49&lt;=1000),M49*3%,M49*5%))))</f>
        <v>#VALUE!</v>
      </c>
      <c r="M68" s="308" t="e">
        <f ca="1">ROUND(L68,1)</f>
        <v>#VALUE!</v>
      </c>
      <c r="N68" s="2768"/>
      <c r="Z68" s="1940"/>
      <c r="AI68" s="1941"/>
    </row>
    <row r="69" spans="1:35" s="1960" customFormat="1" ht="16.5" customHeight="1">
      <c r="A69" s="1999"/>
      <c r="B69" s="2000"/>
      <c r="C69" s="2001"/>
      <c r="D69" s="2002"/>
      <c r="E69" s="2003"/>
      <c r="F69" s="1765"/>
      <c r="G69" s="1765"/>
      <c r="H69" s="1764"/>
      <c r="I69" s="1935"/>
      <c r="J69" s="3227"/>
      <c r="K69" s="1503" t="s">
        <v>2079</v>
      </c>
      <c r="L69" s="1503"/>
      <c r="M69" s="308" t="e">
        <f ca="1">ROUND(SUM(M63:M68),0)</f>
        <v>#VALUE!</v>
      </c>
      <c r="N69" s="2770" t="e">
        <f ca="1">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6" t="s">
        <v>2080</v>
      </c>
      <c r="B70" s="3187"/>
      <c r="C70" s="3187"/>
      <c r="D70" s="3187"/>
      <c r="E70" s="3187"/>
      <c r="F70" s="3187"/>
      <c r="G70" s="3187"/>
      <c r="H70" s="318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5" t="s">
        <v>2061</v>
      </c>
      <c r="B71" s="3166"/>
      <c r="C71" s="2211"/>
      <c r="D71" s="2211" t="s">
        <v>2062</v>
      </c>
      <c r="E71" s="185" t="s">
        <v>2063</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3" t="e">
        <f ca="1">ROUND(D45/(1+'数据-取费表'!C42),0)</f>
        <v>#REF!</v>
      </c>
      <c r="D72" s="175" t="s">
        <v>32</v>
      </c>
      <c r="E72" s="2556"/>
      <c r="F72" s="2555"/>
      <c r="G72" s="2555"/>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3"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6"/>
      <c r="D75" s="175" t="s">
        <v>32</v>
      </c>
      <c r="E75" s="190" t="s">
        <v>2085</v>
      </c>
      <c r="F75" s="2797"/>
      <c r="G75" s="190" t="s">
        <v>2086</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9">
        <v>0.05</v>
      </c>
      <c r="E76" s="3160" t="s">
        <v>2088</v>
      </c>
      <c r="F76" s="3134"/>
      <c r="G76" s="3134"/>
      <c r="H76" s="318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0">
        <f>'数据-取费表'!B48+'数据-取费表'!B49</f>
        <v>0</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1" t="e">
        <f ca="1">ROUND(D45*D78/(1+'数据-取费表'!C42),0)</f>
        <v>#REF!</v>
      </c>
      <c r="D78" s="2802">
        <f>'数据-取费表'!B43</f>
        <v>0</v>
      </c>
      <c r="E78" s="3144" t="s">
        <v>2092</v>
      </c>
      <c r="F78" s="3145"/>
      <c r="G78" s="3145"/>
      <c r="H78" s="315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3"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3"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6" t="s">
        <v>2096</v>
      </c>
      <c r="B83" s="3187"/>
      <c r="C83" s="3187"/>
      <c r="D83" s="3187"/>
      <c r="E83" s="3187"/>
      <c r="F83" s="3187"/>
      <c r="G83" s="3187"/>
      <c r="H83" s="318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5" t="s">
        <v>2061</v>
      </c>
      <c r="B84" s="3166"/>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3"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3" t="e">
        <f ca="1">IF(H88="仅含出让金",C87+C90+C91+C92+C93+C94,C87+C91+C92+C93+C94)</f>
        <v>#REF!</v>
      </c>
      <c r="D86" s="2806"/>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1">
        <f>C88+C89</f>
        <v>0</v>
      </c>
      <c r="D87" s="2802"/>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7"/>
      <c r="D88" s="2802"/>
      <c r="E88" s="199" t="s">
        <v>2099</v>
      </c>
      <c r="F88" s="2552"/>
      <c r="G88" s="200" t="s">
        <v>2100</v>
      </c>
      <c r="H88" s="2012"/>
      <c r="I88" s="2009"/>
      <c r="J88" s="2746" t="s">
        <v>3032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1">
        <f>ROUND(C88*D89,0)</f>
        <v>0</v>
      </c>
      <c r="D89" s="2802">
        <f>'数据-取费表'!B48+'数据-取费表'!B49</f>
        <v>0</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7"/>
      <c r="D90" s="2802"/>
      <c r="E90" s="199" t="str">
        <f>IF(H88="-","土地取得成本中已包含该笔费用"," ")</f>
        <v xml:space="preserve"> </v>
      </c>
      <c r="F90" s="2552"/>
      <c r="G90" s="3229" t="s">
        <v>2872</v>
      </c>
      <c r="H90" s="3230"/>
      <c r="I90" s="2009"/>
      <c r="J90" s="2746" t="s">
        <v>3033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1">
        <f>IF(H91="——",成本法!C33,I91)</f>
        <v>0</v>
      </c>
      <c r="D91" s="2802"/>
      <c r="E91" s="3144" t="s">
        <v>2105</v>
      </c>
      <c r="F91" s="3145"/>
      <c r="G91" s="314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1">
        <f>ROUND((C87+C90+C91)*D92,0)</f>
        <v>0</v>
      </c>
      <c r="D92" s="2808"/>
      <c r="E92" s="3144" t="s">
        <v>2108</v>
      </c>
      <c r="F92" s="3145"/>
      <c r="G92" s="3145"/>
      <c r="H92" s="3154"/>
      <c r="I92" s="2009"/>
      <c r="J92" s="2747" t="s">
        <v>3034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1" t="e">
        <f ca="1">ROUND(D45*D93/(1+'数据-取费表'!C42),0)</f>
        <v>#REF!</v>
      </c>
      <c r="D93" s="2802">
        <f>'数据-取费表'!B43</f>
        <v>0</v>
      </c>
      <c r="E93" s="3144" t="s">
        <v>2092</v>
      </c>
      <c r="F93" s="3145"/>
      <c r="G93" s="3145"/>
      <c r="H93" s="315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7">
        <f>ROUND((C87+C90+C91)*D94,0)</f>
        <v>0</v>
      </c>
      <c r="D94" s="2802">
        <v>0.2</v>
      </c>
      <c r="E94" s="3155" t="s">
        <v>2112</v>
      </c>
      <c r="F94" s="3156"/>
      <c r="G94" s="3156"/>
      <c r="H94" s="315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3"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3"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28" t="s">
        <v>2114</v>
      </c>
      <c r="B100" s="3129"/>
      <c r="C100" s="3129"/>
      <c r="D100" s="3146"/>
      <c r="E100" s="3129" t="s">
        <v>2115</v>
      </c>
      <c r="F100" s="3129"/>
      <c r="G100" s="3129"/>
      <c r="H100" s="3146"/>
      <c r="I100" s="134"/>
    </row>
    <row r="101" spans="1:35" ht="18.75" customHeight="1">
      <c r="A101" s="3210" t="s">
        <v>2116</v>
      </c>
      <c r="B101" s="3211"/>
      <c r="C101" s="2810">
        <f>C4</f>
        <v>0</v>
      </c>
      <c r="D101" s="2811">
        <f>D4</f>
        <v>0</v>
      </c>
      <c r="E101" s="3224" t="s">
        <v>2117</v>
      </c>
      <c r="F101" s="3178"/>
      <c r="G101" s="2015" t="s">
        <v>2118</v>
      </c>
      <c r="H101" s="2820" t="e">
        <f ca="1">H118</f>
        <v>#REF!</v>
      </c>
      <c r="I101" s="134"/>
    </row>
    <row r="102" spans="1:35" ht="18.75" customHeight="1">
      <c r="A102" s="3180" t="s">
        <v>2119</v>
      </c>
      <c r="B102" s="2809" t="s">
        <v>2118</v>
      </c>
      <c r="C102" s="2810" t="e">
        <f ca="1">C19</f>
        <v>#REF!</v>
      </c>
      <c r="D102" s="2811" t="e">
        <f ca="1">D19</f>
        <v>#REF!</v>
      </c>
      <c r="E102" s="3224"/>
      <c r="F102" s="3178"/>
      <c r="G102" s="2015" t="s">
        <v>2120</v>
      </c>
      <c r="H102" s="2780" t="e">
        <f ca="1">I118</f>
        <v>#REF!</v>
      </c>
      <c r="I102" s="134"/>
    </row>
    <row r="103" spans="1:35" ht="42.75" customHeight="1">
      <c r="A103" s="3180"/>
      <c r="B103" s="2809" t="s">
        <v>2120</v>
      </c>
      <c r="C103" s="2812" t="e">
        <f ca="1">C20</f>
        <v>#REF!</v>
      </c>
      <c r="D103" s="2813" t="e">
        <f ca="1">D20</f>
        <v>#REF!</v>
      </c>
      <c r="E103" s="3218" t="s">
        <v>2121</v>
      </c>
      <c r="F103" s="3219"/>
      <c r="G103" s="2016" t="s">
        <v>2122</v>
      </c>
      <c r="H103" s="2820">
        <f>IF(D36="正常操作",H104+H105+H106,H105+H106)</f>
        <v>0</v>
      </c>
      <c r="I103" s="134"/>
    </row>
    <row r="104" spans="1:35" ht="18.75" customHeight="1">
      <c r="A104" s="3180" t="s">
        <v>2123</v>
      </c>
      <c r="B104" s="2814" t="s">
        <v>2118</v>
      </c>
      <c r="C104" s="2815" t="e">
        <f ca="1">H118</f>
        <v>#REF!</v>
      </c>
      <c r="D104" s="2816"/>
      <c r="E104" s="1862" t="s">
        <v>2124</v>
      </c>
      <c r="F104" s="1853"/>
      <c r="G104" s="2016" t="s">
        <v>2122</v>
      </c>
      <c r="H104" s="2821">
        <f>IF(D36="同一抵押权人同一抵押物续贷",C36&amp;"（续贷，未扣减，详见特别提示）",C36)</f>
        <v>0</v>
      </c>
      <c r="I104" s="134"/>
    </row>
    <row r="105" spans="1:35" ht="18.75" customHeight="1" thickBot="1">
      <c r="A105" s="3181"/>
      <c r="B105" s="2817" t="s">
        <v>2120</v>
      </c>
      <c r="C105" s="2818" t="e">
        <f ca="1">I118</f>
        <v>#REF!</v>
      </c>
      <c r="D105" s="2819"/>
      <c r="E105" s="1862" t="s">
        <v>2125</v>
      </c>
      <c r="F105" s="1853"/>
      <c r="G105" s="2016" t="s">
        <v>2122</v>
      </c>
      <c r="H105" s="2822">
        <f>C37</f>
        <v>0</v>
      </c>
      <c r="I105" s="134"/>
    </row>
    <row r="106" spans="1:35" ht="18.75" customHeight="1">
      <c r="A106" s="1935" t="s">
        <v>2126</v>
      </c>
      <c r="B106" s="1935"/>
      <c r="C106" s="1935"/>
      <c r="D106" s="1935"/>
      <c r="E106" s="2017" t="s">
        <v>2127</v>
      </c>
      <c r="F106" s="1853"/>
      <c r="G106" s="2016" t="s">
        <v>2122</v>
      </c>
      <c r="H106" s="2822">
        <f>C38</f>
        <v>0</v>
      </c>
      <c r="I106" s="134"/>
    </row>
    <row r="107" spans="1:35" ht="18.75" customHeight="1">
      <c r="A107" s="134"/>
      <c r="B107" s="134"/>
      <c r="C107" s="134"/>
      <c r="D107" s="134"/>
      <c r="E107" s="3177" t="str">
        <f>IF(项目基本情况!E8="已注销","——","3.房地产抵押价值")</f>
        <v>3.房地产抵押价值</v>
      </c>
      <c r="F107" s="3178"/>
      <c r="G107" s="2015" t="s">
        <v>2118</v>
      </c>
      <c r="H107" s="2820" t="e">
        <f ca="1">IF(E107="——","——",H101-H103)</f>
        <v>#REF!</v>
      </c>
      <c r="I107" s="134"/>
    </row>
    <row r="108" spans="1:35" ht="18.75" customHeight="1">
      <c r="A108" s="134"/>
      <c r="B108" s="134"/>
      <c r="C108" s="134"/>
      <c r="D108" s="134"/>
      <c r="E108" s="3177"/>
      <c r="F108" s="3178"/>
      <c r="G108" s="2015" t="s">
        <v>2120</v>
      </c>
      <c r="H108" s="2780" t="e">
        <f ca="1">ROUND(H107*10000/'数据-汇总表'!E3,0)</f>
        <v>#REF!</v>
      </c>
      <c r="I108" s="134"/>
    </row>
    <row r="109" spans="1:35" ht="18.75" customHeight="1">
      <c r="A109" s="134"/>
      <c r="B109" s="134"/>
      <c r="C109" s="134"/>
      <c r="D109" s="134"/>
      <c r="E109" s="3177" t="str">
        <f>IF(项目基本情况!E8="已注销及未注销","4.抵押担保权已注销时的房地产抵押价值",IF(项目基本情况!E8="已注销","3.抵押担保权已注销时的房地产抵押价值","——"))</f>
        <v>——</v>
      </c>
      <c r="F109" s="3178"/>
      <c r="G109" s="2015" t="s">
        <v>2118</v>
      </c>
      <c r="H109" s="2823" t="str">
        <f>IF(E109="——","——",H101-H105-H106)</f>
        <v>——</v>
      </c>
      <c r="I109" s="134"/>
    </row>
    <row r="110" spans="1:35" ht="18.75" customHeight="1">
      <c r="A110" s="134"/>
      <c r="B110" s="134"/>
      <c r="C110" s="134"/>
      <c r="D110" s="134"/>
      <c r="E110" s="3177"/>
      <c r="F110" s="3178"/>
      <c r="G110" s="2015" t="s">
        <v>2120</v>
      </c>
      <c r="H110" s="2780" t="str">
        <f>IF(H109="——","——",ROUND(H109*10000/'数据-汇总表'!E3,0))</f>
        <v>——</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79"/>
      <c r="G111" s="2015" t="s">
        <v>2118</v>
      </c>
      <c r="H111" s="2820" t="str">
        <f>IF(E111="——","——",N59)</f>
        <v>——</v>
      </c>
      <c r="I111" s="134"/>
    </row>
    <row r="112" spans="1:35" ht="18.75" customHeight="1" thickBot="1">
      <c r="A112" s="134"/>
      <c r="B112" s="134"/>
      <c r="C112" s="134"/>
      <c r="D112" s="134"/>
      <c r="E112" s="3213"/>
      <c r="F112" s="3214"/>
      <c r="G112" s="2018" t="s">
        <v>2120</v>
      </c>
      <c r="H112" s="2824" t="str">
        <f>IF(E111="——","——",N61)</f>
        <v>——</v>
      </c>
      <c r="I112" s="134"/>
    </row>
    <row r="113" spans="1:27" ht="18.75" customHeight="1">
      <c r="A113" s="134"/>
      <c r="B113" s="134"/>
      <c r="C113" s="134"/>
      <c r="D113" s="134"/>
      <c r="E113" s="3182" t="s">
        <v>2126</v>
      </c>
      <c r="F113" s="3182"/>
      <c r="G113" s="3182"/>
      <c r="H113" s="3182"/>
      <c r="I113" s="134"/>
    </row>
    <row r="114" spans="1:27" ht="3.75" customHeight="1">
      <c r="A114" s="1935"/>
      <c r="B114" s="1935"/>
      <c r="C114" s="1935"/>
      <c r="D114" s="1935"/>
      <c r="E114" s="1997"/>
      <c r="F114" s="1997"/>
      <c r="G114" s="1997"/>
      <c r="H114" s="1997"/>
      <c r="I114" s="1935"/>
    </row>
    <row r="115" spans="1:27" ht="18.75" customHeight="1">
      <c r="A115" s="3195" t="s">
        <v>2128</v>
      </c>
      <c r="B115" s="3196"/>
      <c r="C115" s="3196"/>
      <c r="D115" s="3196"/>
      <c r="E115" s="3196"/>
      <c r="F115" s="3196"/>
      <c r="G115" s="3196"/>
      <c r="H115" s="3196"/>
      <c r="I115" s="3197"/>
    </row>
    <row r="116" spans="1:27" ht="27" customHeight="1">
      <c r="A116" s="3148" t="s">
        <v>2129</v>
      </c>
      <c r="B116" s="3183" t="s">
        <v>2130</v>
      </c>
      <c r="C116" s="3183" t="s">
        <v>2131</v>
      </c>
      <c r="D116" s="3199" t="s">
        <v>2132</v>
      </c>
      <c r="E116" s="3200"/>
      <c r="F116" s="3191" t="s">
        <v>2133</v>
      </c>
      <c r="G116" s="3191"/>
      <c r="H116" s="3148" t="s">
        <v>2134</v>
      </c>
      <c r="I116" s="3148"/>
    </row>
    <row r="117" spans="1:27" ht="18.75" customHeight="1">
      <c r="A117" s="3148"/>
      <c r="B117" s="3184"/>
      <c r="C117" s="3184"/>
      <c r="D117" s="2554" t="s">
        <v>2135</v>
      </c>
      <c r="E117" s="2554" t="s">
        <v>2136</v>
      </c>
      <c r="F117" s="2554" t="s">
        <v>2135</v>
      </c>
      <c r="G117" s="2554" t="s">
        <v>2137</v>
      </c>
      <c r="H117" s="2554" t="s">
        <v>2135</v>
      </c>
      <c r="I117" s="2554" t="s">
        <v>2137</v>
      </c>
    </row>
    <row r="118" spans="1:27" ht="24.75" customHeight="1">
      <c r="A118" s="2825" t="str">
        <f>项目基本情况!S2</f>
        <v>北京市口子村东1号院36、47号楼-1至3层101号工业用房房地产</v>
      </c>
      <c r="B118" s="2554">
        <f>M18</f>
        <v>622.69000000000005</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148" t="s">
        <v>2138</v>
      </c>
      <c r="B119" s="3148"/>
      <c r="C119" s="3148"/>
      <c r="D119" s="3188" t="e">
        <f ca="1">NUMBERSTRING(INT(D118*10000),2)&amp;"元整"</f>
        <v>#REF!</v>
      </c>
      <c r="E119" s="3190"/>
      <c r="F119" s="3188" t="e">
        <f ca="1">NUMBERSTRING(INT(F118*10000),2)&amp;"元整"</f>
        <v>#REF!</v>
      </c>
      <c r="G119" s="3190"/>
      <c r="H119" s="3188" t="e">
        <f ca="1">NUMBERSTRING(INT(H118*10000),2)&amp;"元整"</f>
        <v>#REF!</v>
      </c>
      <c r="I119" s="3190"/>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2" t="s">
        <v>2138</v>
      </c>
      <c r="B121" s="3193"/>
      <c r="C121" s="3194"/>
      <c r="D121" s="3188" t="str">
        <f>IF(D120=0,"零元整",NUMBERSTRING(INT(D120*10000),2)&amp;"元整")</f>
        <v>零元整</v>
      </c>
      <c r="E121" s="3189"/>
      <c r="F121" s="3189"/>
      <c r="G121" s="3189"/>
      <c r="H121" s="3189"/>
      <c r="I121" s="3190"/>
      <c r="AA121" s="734"/>
    </row>
    <row r="122" spans="1:27" ht="18.75" customHeight="1">
      <c r="A122" s="3179" t="str">
        <f>IF(项目基本情况!B9="房地产市场价值","",MID(E107,3,LEN(E107)-2))</f>
        <v>房地产抵押价值</v>
      </c>
      <c r="B122" s="3179"/>
      <c r="C122" s="3179"/>
      <c r="D122" s="3215" t="e">
        <f ca="1">H107</f>
        <v>#REF!</v>
      </c>
      <c r="E122" s="3216"/>
      <c r="F122" s="3216"/>
      <c r="G122" s="3216"/>
      <c r="H122" s="3216"/>
      <c r="I122" s="3217"/>
      <c r="AA122" s="734"/>
    </row>
    <row r="123" spans="1:27" ht="18.75" customHeight="1">
      <c r="A123" s="3148" t="s">
        <v>2138</v>
      </c>
      <c r="B123" s="3148"/>
      <c r="C123" s="3148"/>
      <c r="D123" s="3188" t="e">
        <f ca="1">NUMBERSTRING(INT(D122*10000),2)&amp;"元整"</f>
        <v>#REF!</v>
      </c>
      <c r="E123" s="3189"/>
      <c r="F123" s="3189"/>
      <c r="G123" s="3189"/>
      <c r="H123" s="3189"/>
      <c r="I123" s="3190"/>
      <c r="AA123" s="734"/>
    </row>
    <row r="124" spans="1:27" ht="18.75" customHeight="1">
      <c r="A124" s="3179" t="str">
        <f>IF(项目基本情况!B9="房地产市场价值","",MID(E109,3,LEN(E109)-2))</f>
        <v/>
      </c>
      <c r="B124" s="3179"/>
      <c r="C124" s="3179"/>
      <c r="D124" s="3215" t="str">
        <f>H109</f>
        <v>——</v>
      </c>
      <c r="E124" s="3216"/>
      <c r="F124" s="3216"/>
      <c r="G124" s="3216"/>
      <c r="H124" s="3216"/>
      <c r="I124" s="3217"/>
      <c r="AA124" s="734"/>
    </row>
    <row r="125" spans="1:27" ht="18.75" customHeight="1">
      <c r="A125" s="3148" t="s">
        <v>2138</v>
      </c>
      <c r="B125" s="3148"/>
      <c r="C125" s="3148"/>
      <c r="D125" s="3188" t="e">
        <f>NUMBERSTRING(INT(D124*10000),2)&amp;"元整"</f>
        <v>#VALUE!</v>
      </c>
      <c r="E125" s="3189"/>
      <c r="F125" s="3189"/>
      <c r="G125" s="3189"/>
      <c r="H125" s="3189"/>
      <c r="I125" s="3190"/>
      <c r="AA125" s="734"/>
    </row>
    <row r="126" spans="1:27" ht="18.75" customHeight="1">
      <c r="A126" s="3179" t="str">
        <f>IF(项目基本情况!B9="房地产市场价值","",MID(E111,3,LEN(E111)-2))</f>
        <v/>
      </c>
      <c r="B126" s="3179"/>
      <c r="C126" s="3179"/>
      <c r="D126" s="3215" t="str">
        <f>H111</f>
        <v>——</v>
      </c>
      <c r="E126" s="3216"/>
      <c r="F126" s="3216"/>
      <c r="G126" s="3216"/>
      <c r="H126" s="3216"/>
      <c r="I126" s="3217"/>
      <c r="AA126" s="734"/>
    </row>
    <row r="127" spans="1:27" ht="18.75" customHeight="1">
      <c r="A127" s="3148" t="s">
        <v>2138</v>
      </c>
      <c r="B127" s="3148"/>
      <c r="C127" s="3148"/>
      <c r="D127" s="3188" t="e">
        <f>NUMBERSTRING(INT(D126*10000),2)&amp;"元整"</f>
        <v>#VALUE!</v>
      </c>
      <c r="E127" s="3189"/>
      <c r="F127" s="3189"/>
      <c r="G127" s="3189"/>
      <c r="H127" s="3189"/>
      <c r="I127" s="3190"/>
      <c r="AA127" s="734"/>
    </row>
    <row r="128" spans="1:27" ht="21.75" customHeight="1">
      <c r="A128" s="3198" t="s">
        <v>2139</v>
      </c>
      <c r="B128" s="3198"/>
      <c r="C128" s="3198"/>
      <c r="D128" s="3198"/>
      <c r="E128" s="3198"/>
      <c r="F128" s="3198"/>
      <c r="G128" s="3198"/>
      <c r="H128" s="3198"/>
      <c r="I128" s="3198"/>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t="e">
        <f ca="1">IF(D2="——",C52,C52-E2)</f>
        <v>#VALUE!</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t="e">
        <f ca="1">ROUND(B2*10000/(IF(B1="",'数据-汇总表'!E3,INDIRECT("'数据-取费表'!k"&amp;$G$1))),0)</f>
        <v>#VALUE!</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0</v>
      </c>
      <c r="G7" s="225"/>
    </row>
    <row r="8" spans="1:9" s="229" customFormat="1">
      <c r="A8" s="886" t="s">
        <v>2162</v>
      </c>
      <c r="B8" s="221" t="s">
        <v>2163</v>
      </c>
      <c r="C8" s="226">
        <f>IF(G8="已包含在土地购买价格中","0",IF(B1="",'数据-取费表'!B29,IF(G9="全部缴纳",C9+C10,H9)))</f>
        <v>0</v>
      </c>
      <c r="D8" s="228"/>
      <c r="E8" s="226"/>
      <c r="F8" s="227"/>
      <c r="G8" s="2044"/>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5"/>
      <c r="H9" s="1299"/>
      <c r="I9" s="2046"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622.69000000000005</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0</v>
      </c>
      <c r="D19" s="958">
        <f ca="1">D9+D10</f>
        <v>622.69000000000005</v>
      </c>
      <c r="E19" s="217">
        <f>'数据-取费表'!B31</f>
        <v>0</v>
      </c>
      <c r="F19" s="237"/>
      <c r="G19" s="2044"/>
    </row>
    <row r="20" spans="1:7" s="220" customFormat="1" ht="13.5" customHeight="1">
      <c r="A20" s="261" t="s">
        <v>2179</v>
      </c>
      <c r="B20" s="216" t="s">
        <v>2180</v>
      </c>
      <c r="C20" s="238">
        <f ca="1">ROUND((C5+C19)*F20,0)</f>
        <v>0</v>
      </c>
      <c r="D20" s="238"/>
      <c r="E20" s="238"/>
      <c r="F20" s="239">
        <f>'数据-取费表'!B37</f>
        <v>0</v>
      </c>
      <c r="G20" s="240" t="s">
        <v>2181</v>
      </c>
    </row>
    <row r="21" spans="1:7" s="220" customFormat="1" ht="13.5" customHeight="1">
      <c r="A21" s="261" t="s">
        <v>2182</v>
      </c>
      <c r="B21" s="216" t="s">
        <v>2183</v>
      </c>
      <c r="C21" s="241">
        <f>F21</f>
        <v>0</v>
      </c>
      <c r="D21" s="242" t="s">
        <v>2184</v>
      </c>
      <c r="E21" s="238"/>
      <c r="F21" s="239">
        <f>'数据-取费表'!B38</f>
        <v>0</v>
      </c>
      <c r="G21" s="240" t="s">
        <v>2185</v>
      </c>
    </row>
    <row r="22" spans="1:7" s="220" customFormat="1" ht="13.5" customHeight="1">
      <c r="A22" s="261" t="s">
        <v>2186</v>
      </c>
      <c r="B22" s="216" t="s">
        <v>2187</v>
      </c>
      <c r="C22" s="1264" t="e">
        <f ca="1">ROUND(SUM(C23:C25),0)</f>
        <v>#VALUE!</v>
      </c>
      <c r="D22" s="241" t="e">
        <f ca="1">C26</f>
        <v>#VALUE!</v>
      </c>
      <c r="E22" s="242" t="s">
        <v>2184</v>
      </c>
      <c r="F22" s="243" t="e">
        <f ca="1">'数据-取费表'!B40</f>
        <v>#VALUE!</v>
      </c>
      <c r="G22" s="240" t="str">
        <f>IF('数据-取费表'!B22&lt;=1,"单利计息","复利计息")</f>
        <v>单利计息</v>
      </c>
    </row>
    <row r="23" spans="1:7" s="220" customFormat="1" ht="13.5" customHeight="1">
      <c r="A23" s="888" t="s">
        <v>2188</v>
      </c>
      <c r="B23" s="221" t="s">
        <v>2189</v>
      </c>
      <c r="C23" s="1265" t="e">
        <f ca="1">ROUND(IF('数据-取费表'!B22&lt;=1,C5*F22*'数据-取费表'!B23,C5*(POWER((1+F22),'数据-取费表'!B23)-1)),0)</f>
        <v>#VALUE!</v>
      </c>
      <c r="D23" s="244"/>
      <c r="E23" s="244"/>
      <c r="F23" s="245"/>
      <c r="G23" s="246" t="s">
        <v>2190</v>
      </c>
    </row>
    <row r="24" spans="1:7" s="220" customFormat="1" ht="13.5" customHeight="1">
      <c r="A24" s="888" t="s">
        <v>2191</v>
      </c>
      <c r="B24" s="221" t="s">
        <v>2192</v>
      </c>
      <c r="C24" s="1265" t="e">
        <f ca="1">ROUND(IF('数据-取费表'!B22&lt;=1,C19*F22*('数据-取费表'!B19/2+'数据-取费表'!B21),C19*(POWER((1+F22),('数据-取费表'!B19/2+'数据-取费表'!B21))-1)),0)</f>
        <v>#VALUE!</v>
      </c>
      <c r="D24" s="244"/>
      <c r="E24" s="244"/>
      <c r="F24" s="245"/>
      <c r="G24" s="246" t="s">
        <v>2193</v>
      </c>
    </row>
    <row r="25" spans="1:7" s="220" customFormat="1" ht="24">
      <c r="A25" s="888" t="s">
        <v>2194</v>
      </c>
      <c r="B25" s="221" t="s">
        <v>2195</v>
      </c>
      <c r="C25" s="1265" t="e">
        <f ca="1">ROUND(IF('数据-取费表'!B22&lt;=1,C20*F22*'数据-取费表'!B23/2,C20*(POWER((1+F22),'数据-取费表'!B23/2)-1)),0)</f>
        <v>#VALUE!</v>
      </c>
      <c r="D25" s="244"/>
      <c r="E25" s="247"/>
      <c r="F25" s="245"/>
      <c r="G25" s="248" t="s">
        <v>2196</v>
      </c>
    </row>
    <row r="26" spans="1:7" s="220" customFormat="1">
      <c r="A26" s="888" t="s">
        <v>795</v>
      </c>
      <c r="B26" s="221" t="s">
        <v>2197</v>
      </c>
      <c r="C26" s="244" t="e">
        <f ca="1">ROUND(IF('数据-取费表'!B22&lt;=1,F21*F22*'数据-取费表'!B23/2,F21*(POWER((1+F22),'数据-取费表'!B23/2)-1)),4)</f>
        <v>#VALUE!</v>
      </c>
      <c r="D26" s="244"/>
      <c r="E26" s="247"/>
      <c r="F26" s="245"/>
      <c r="G26" s="249"/>
    </row>
    <row r="27" spans="1:7" s="220" customFormat="1" ht="24.75">
      <c r="A27" s="261" t="s">
        <v>2198</v>
      </c>
      <c r="B27" s="250" t="s">
        <v>2199</v>
      </c>
      <c r="C27" s="251" t="e">
        <f ca="1">C28</f>
        <v>#DIV/0!</v>
      </c>
      <c r="D27" s="241" t="e">
        <f ca="1">C29</f>
        <v>#DIV/0!</v>
      </c>
      <c r="E27" s="242" t="s">
        <v>2200</v>
      </c>
      <c r="F27" s="252" t="e">
        <f ca="1">IF(B1="",'数据-取费表'!Q16,INDIRECT("'数据-取费表'!q"&amp;$G$1))</f>
        <v>#DIV/0!</v>
      </c>
      <c r="G27" s="253" t="s">
        <v>2201</v>
      </c>
    </row>
    <row r="28" spans="1:7" s="220" customFormat="1" ht="13.5" customHeight="1">
      <c r="A28" s="888" t="s">
        <v>791</v>
      </c>
      <c r="B28" s="254" t="s">
        <v>2202</v>
      </c>
      <c r="C28" s="255" t="e">
        <f ca="1">ROUND((C5+C19+C20)*F27*'数据-取费表'!B21/'数据-取费表'!B20,0)</f>
        <v>#DIV/0!</v>
      </c>
      <c r="D28" s="241"/>
      <c r="E28" s="242"/>
      <c r="F28" s="252"/>
      <c r="G28" s="253"/>
    </row>
    <row r="29" spans="1:7" s="220" customFormat="1" ht="13.5" customHeight="1">
      <c r="A29" s="888" t="s">
        <v>792</v>
      </c>
      <c r="B29" s="254" t="s">
        <v>2203</v>
      </c>
      <c r="C29" s="244" t="e">
        <f ca="1">ROUND(C21*F27*'数据-取费表'!B21/'数据-取费表'!B20,4)</f>
        <v>#DIV/0!</v>
      </c>
      <c r="D29" s="241"/>
      <c r="E29" s="242"/>
      <c r="F29" s="252"/>
      <c r="G29" s="253"/>
    </row>
    <row r="30" spans="1:7" s="220" customFormat="1" ht="13.5" customHeight="1">
      <c r="A30" s="261" t="s">
        <v>2204</v>
      </c>
      <c r="B30" s="216" t="s">
        <v>2205</v>
      </c>
      <c r="C30" s="241">
        <f>ROUND(F30/(1+'数据-取费表'!C42),4)</f>
        <v>0</v>
      </c>
      <c r="D30" s="242" t="s">
        <v>2200</v>
      </c>
      <c r="E30" s="247"/>
      <c r="F30" s="243">
        <f>'数据-取费表'!B41</f>
        <v>0</v>
      </c>
      <c r="G30" s="240" t="s">
        <v>2206</v>
      </c>
    </row>
    <row r="31" spans="1:7" ht="16.5" customHeight="1">
      <c r="A31" s="215">
        <v>1</v>
      </c>
      <c r="B31" s="216" t="s">
        <v>2207</v>
      </c>
      <c r="C31" s="217" t="e">
        <f ca="1">ROUND((C5+C19+C20+C22+C27)/(1-C21-D22-D27-C30),0)</f>
        <v>#VALUE!</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0</v>
      </c>
      <c r="D37" s="223">
        <f ca="1">D19</f>
        <v>622.69000000000005</v>
      </c>
      <c r="E37" s="255">
        <f>'数据-取费表'!B35</f>
        <v>0</v>
      </c>
      <c r="F37" s="265"/>
      <c r="G37" s="267" t="s">
        <v>2218</v>
      </c>
    </row>
    <row r="38" spans="1:7" ht="13.5" customHeight="1">
      <c r="A38" s="888" t="s">
        <v>799</v>
      </c>
      <c r="B38" s="221" t="s">
        <v>2219</v>
      </c>
      <c r="C38" s="226">
        <f ca="1">ROUND(C34*F38,0)</f>
        <v>0</v>
      </c>
      <c r="D38" s="226"/>
      <c r="E38" s="226"/>
      <c r="F38" s="265">
        <f>'数据-取费表'!B36</f>
        <v>0</v>
      </c>
      <c r="G38" s="225" t="s">
        <v>2214</v>
      </c>
    </row>
    <row r="39" spans="1:7" s="220" customFormat="1" ht="13.5" customHeight="1">
      <c r="A39" s="261" t="s">
        <v>2220</v>
      </c>
      <c r="B39" s="216" t="s">
        <v>2221</v>
      </c>
      <c r="C39" s="238">
        <f ca="1">ROUND(C33*F20,0)</f>
        <v>0</v>
      </c>
      <c r="D39" s="238"/>
      <c r="E39" s="238"/>
      <c r="F39" s="2537">
        <f>F20</f>
        <v>0</v>
      </c>
      <c r="G39" s="240" t="s">
        <v>2222</v>
      </c>
    </row>
    <row r="40" spans="1:7" s="220" customFormat="1" ht="13.5" customHeight="1">
      <c r="A40" s="261" t="s">
        <v>2223</v>
      </c>
      <c r="B40" s="216" t="s">
        <v>2224</v>
      </c>
      <c r="C40" s="1497">
        <f>F21</f>
        <v>0</v>
      </c>
      <c r="D40" s="242" t="s">
        <v>2225</v>
      </c>
      <c r="E40" s="238"/>
      <c r="F40" s="2537">
        <f>F21</f>
        <v>0</v>
      </c>
      <c r="G40" s="240" t="s">
        <v>2226</v>
      </c>
    </row>
    <row r="41" spans="1:7" s="220" customFormat="1" ht="13.5" customHeight="1">
      <c r="A41" s="261" t="s">
        <v>2227</v>
      </c>
      <c r="B41" s="216" t="s">
        <v>2228</v>
      </c>
      <c r="C41" s="238" t="e">
        <f ca="1">ROUND(SUM(C42:C43),0)</f>
        <v>#VALUE!</v>
      </c>
      <c r="D41" s="241" t="e">
        <f ca="1">C44</f>
        <v>#VALUE!</v>
      </c>
      <c r="E41" s="242" t="s">
        <v>2225</v>
      </c>
      <c r="F41" s="2538" t="e">
        <f ca="1">F22</f>
        <v>#VALUE!</v>
      </c>
      <c r="G41" s="240" t="str">
        <f>IF('数据-取费表'!B22&lt;=1,"单利计息","复利计息")</f>
        <v>单利计息</v>
      </c>
    </row>
    <row r="42" spans="1:7" ht="13.5" customHeight="1">
      <c r="A42" s="888" t="s">
        <v>791</v>
      </c>
      <c r="B42" s="221" t="s">
        <v>2229</v>
      </c>
      <c r="C42" s="244" t="e">
        <f ca="1">ROUND(IF('数据-取费表'!B22&lt;=1,C33*F22*'数据-取费表'!B21/2,C33*(POWER((1+F22),'数据-取费表'!B21/2)-1)),0)</f>
        <v>#VALUE!</v>
      </c>
      <c r="D42" s="244"/>
      <c r="E42" s="244"/>
      <c r="F42" s="245"/>
      <c r="G42" s="3231" t="s">
        <v>2230</v>
      </c>
    </row>
    <row r="43" spans="1:7" ht="13.5" customHeight="1">
      <c r="A43" s="888" t="s">
        <v>792</v>
      </c>
      <c r="B43" s="221" t="s">
        <v>2231</v>
      </c>
      <c r="C43" s="244" t="e">
        <f ca="1">ROUND(IF('数据-取费表'!B22&lt;=1,C39*F22*'数据-取费表'!B21/2,C39*(POWER((1+F22),'数据-取费表'!B21/2)-1)),0)</f>
        <v>#VALUE!</v>
      </c>
      <c r="D43" s="244"/>
      <c r="E43" s="244"/>
      <c r="F43" s="245"/>
      <c r="G43" s="3232"/>
    </row>
    <row r="44" spans="1:7" ht="13.5" customHeight="1">
      <c r="A44" s="888" t="s">
        <v>793</v>
      </c>
      <c r="B44" s="221" t="s">
        <v>2232</v>
      </c>
      <c r="C44" s="244" t="e">
        <f ca="1">ROUND(IF('数据-取费表'!B22&lt;=1,C40*F22*'数据-取费表'!B21/2,C40*(POWER((1+F22),'数据-取费表'!B21/2)-1)),4)</f>
        <v>#VALUE!</v>
      </c>
      <c r="D44" s="244"/>
      <c r="E44" s="244"/>
      <c r="F44" s="245"/>
      <c r="G44" s="3233"/>
    </row>
    <row r="45" spans="1:7" s="220" customFormat="1" ht="13.5" customHeight="1">
      <c r="A45" s="261" t="s">
        <v>2233</v>
      </c>
      <c r="B45" s="250" t="s">
        <v>2199</v>
      </c>
      <c r="C45" s="251" t="e">
        <f ca="1">C46</f>
        <v>#DIV/0!</v>
      </c>
      <c r="D45" s="241" t="e">
        <f ca="1">C47</f>
        <v>#DIV/0!</v>
      </c>
      <c r="E45" s="242" t="s">
        <v>2225</v>
      </c>
      <c r="F45" s="2539" t="e">
        <f ca="1">F27</f>
        <v>#DIV/0!</v>
      </c>
      <c r="G45" s="253" t="s">
        <v>2234</v>
      </c>
    </row>
    <row r="46" spans="1:7" s="220" customFormat="1" ht="13.5" customHeight="1">
      <c r="A46" s="888" t="s">
        <v>791</v>
      </c>
      <c r="B46" s="254" t="s">
        <v>2235</v>
      </c>
      <c r="C46" s="255" t="e">
        <f ca="1">ROUND((C33+C39)*F27,0)</f>
        <v>#DIV/0!</v>
      </c>
      <c r="D46" s="269"/>
      <c r="E46" s="242"/>
      <c r="F46" s="252"/>
      <c r="G46" s="253"/>
    </row>
    <row r="47" spans="1:7" s="220" customFormat="1" ht="13.5" customHeight="1">
      <c r="A47" s="888" t="s">
        <v>792</v>
      </c>
      <c r="B47" s="254" t="s">
        <v>2236</v>
      </c>
      <c r="C47" s="244" t="e">
        <f ca="1">ROUND(C40*F27,4)</f>
        <v>#DIV/0!</v>
      </c>
      <c r="D47" s="269"/>
      <c r="E47" s="242"/>
      <c r="F47" s="252"/>
      <c r="G47" s="253"/>
    </row>
    <row r="48" spans="1:7" s="220" customFormat="1" ht="13.5" customHeight="1">
      <c r="A48" s="261" t="s">
        <v>2198</v>
      </c>
      <c r="B48" s="216" t="s">
        <v>2237</v>
      </c>
      <c r="C48" s="1497">
        <f>ROUND(F30/(1+'数据-取费表'!C42),4)</f>
        <v>0</v>
      </c>
      <c r="D48" s="242" t="s">
        <v>2225</v>
      </c>
      <c r="E48" s="238"/>
      <c r="F48" s="2538">
        <f>F30</f>
        <v>0</v>
      </c>
      <c r="G48" s="240" t="s">
        <v>2238</v>
      </c>
    </row>
    <row r="49" spans="1:7" ht="16.5" customHeight="1">
      <c r="A49" s="261" t="s">
        <v>2204</v>
      </c>
      <c r="B49" s="216" t="s">
        <v>2239</v>
      </c>
      <c r="C49" s="238" t="e">
        <f ca="1">ROUND((C33+C39+C41+C45)/(1-C40-D41-D45-C48),0)</f>
        <v>#VALUE!</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#VALUE!</v>
      </c>
      <c r="D51" s="238"/>
      <c r="E51" s="238"/>
      <c r="F51" s="270"/>
      <c r="G51" s="240" t="s">
        <v>2246</v>
      </c>
    </row>
    <row r="52" spans="1:7" s="214" customFormat="1" ht="16.5" thickBot="1">
      <c r="A52" s="271" t="s">
        <v>2247</v>
      </c>
      <c r="B52" s="272"/>
      <c r="C52" s="273" t="e">
        <f ca="1">C31+C51</f>
        <v>#VALUE!</v>
      </c>
      <c r="D52" s="272"/>
      <c r="E52" s="272"/>
      <c r="F52" s="272"/>
      <c r="G52" s="274"/>
    </row>
    <row r="55" spans="1:7" ht="15">
      <c r="B55" s="276" t="s">
        <v>2248</v>
      </c>
      <c r="C55" s="277"/>
    </row>
    <row r="56" spans="1:7">
      <c r="B56" s="279" t="s">
        <v>1478</v>
      </c>
      <c r="C56" s="281" t="e">
        <f ca="1">1-C57</f>
        <v>#VALUE!</v>
      </c>
    </row>
    <row r="57" spans="1:7">
      <c r="B57" s="279" t="s">
        <v>1479</v>
      </c>
      <c r="C57" s="280"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2" t="str">
        <f>项目基本情况!B1</f>
        <v>北京市口子村东1号院36、47号楼-1至3层101号工业用房房地产抵押价值预评估</v>
      </c>
      <c r="C37" s="3042"/>
      <c r="D37" s="3042"/>
      <c r="E37" s="3042"/>
      <c r="F37" s="3042"/>
      <c r="G37" s="3042"/>
      <c r="H37" s="3042"/>
      <c r="I37" s="3042"/>
    </row>
    <row r="38" spans="1:9">
      <c r="A38" s="953"/>
      <c r="B38" s="953"/>
    </row>
    <row r="39" spans="1:9">
      <c r="A39" s="951" t="s">
        <v>818</v>
      </c>
      <c r="B39" s="951" t="s">
        <v>820</v>
      </c>
    </row>
    <row r="40" spans="1:9">
      <c r="A40" s="951"/>
      <c r="B40" s="1661" t="str">
        <f>项目基本情况!B5</f>
        <v>北京再出发健康管理有限公司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t="e">
        <f ca="1">ROUND(IF(D2="——",C52/10000,C52/10000-E2),0)</f>
        <v>#VALUE!</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t="e">
        <f ca="1">ROUND(B2*10000/(IF(B1="",'数据-汇总表'!E3,INDIRECT("'数据-取费表'!k"&amp;$G$1))),0)</f>
        <v>#VALUE!</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0</v>
      </c>
      <c r="G7" s="225"/>
    </row>
    <row r="8" spans="1:8" s="229" customFormat="1">
      <c r="A8" s="886" t="s">
        <v>2162</v>
      </c>
      <c r="B8" s="221" t="s">
        <v>2163</v>
      </c>
      <c r="C8" s="226">
        <f ca="1">IF(G8="已包含在土地购买价格中",0,C9+C10)</f>
        <v>0</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622.69000000000005</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0</v>
      </c>
      <c r="D19" s="958">
        <f ca="1">D9+D10</f>
        <v>622.69000000000005</v>
      </c>
      <c r="E19" s="217">
        <f>'数据-取费表'!B31</f>
        <v>0</v>
      </c>
      <c r="F19" s="237"/>
      <c r="G19" s="2044"/>
    </row>
    <row r="20" spans="1:7" s="220" customFormat="1" ht="13.5" customHeight="1">
      <c r="A20" s="261" t="s">
        <v>2260</v>
      </c>
      <c r="B20" s="216" t="s">
        <v>2261</v>
      </c>
      <c r="C20" s="238">
        <f ca="1">ROUND((C5+C19)*F20,0)</f>
        <v>0</v>
      </c>
      <c r="D20" s="238"/>
      <c r="E20" s="238"/>
      <c r="F20" s="239">
        <f>'数据-取费表'!B37</f>
        <v>0</v>
      </c>
      <c r="G20" s="240" t="s">
        <v>2262</v>
      </c>
    </row>
    <row r="21" spans="1:7" s="220" customFormat="1" ht="13.5" customHeight="1">
      <c r="A21" s="261" t="s">
        <v>2263</v>
      </c>
      <c r="B21" s="216" t="s">
        <v>2264</v>
      </c>
      <c r="C21" s="241">
        <f>F21</f>
        <v>0</v>
      </c>
      <c r="D21" s="242" t="s">
        <v>2265</v>
      </c>
      <c r="E21" s="238"/>
      <c r="F21" s="239">
        <f>'数据-取费表'!B38</f>
        <v>0</v>
      </c>
      <c r="G21" s="240" t="s">
        <v>2266</v>
      </c>
    </row>
    <row r="22" spans="1:7" s="220" customFormat="1" ht="13.5" customHeight="1">
      <c r="A22" s="261" t="s">
        <v>2267</v>
      </c>
      <c r="B22" s="216" t="s">
        <v>2268</v>
      </c>
      <c r="C22" s="1289" t="e">
        <f ca="1">ROUND(SUM(C23:C25),0)</f>
        <v>#VALUE!</v>
      </c>
      <c r="D22" s="241" t="e">
        <f ca="1">C26</f>
        <v>#VALUE!</v>
      </c>
      <c r="E22" s="242" t="s">
        <v>2265</v>
      </c>
      <c r="F22" s="243" t="e">
        <f ca="1">'数据-取费表'!B40</f>
        <v>#VALUE!</v>
      </c>
      <c r="G22" s="240" t="str">
        <f>IF('数据-取费表'!B22&lt;=1,"单利计息","复利计息")</f>
        <v>单利计息</v>
      </c>
    </row>
    <row r="23" spans="1:7" s="220" customFormat="1" ht="13.5" customHeight="1">
      <c r="A23" s="888" t="s">
        <v>2158</v>
      </c>
      <c r="B23" s="221" t="s">
        <v>2269</v>
      </c>
      <c r="C23" s="1290" t="e">
        <f ca="1">ROUND(IF('数据-取费表'!B22&lt;=1,C5*F22*'数据-取费表'!B22,C5*(POWER((1+F22),'数据-取费表'!B22)-1)),0)</f>
        <v>#VALUE!</v>
      </c>
      <c r="D23" s="244"/>
      <c r="E23" s="244"/>
      <c r="F23" s="245"/>
      <c r="G23" s="246" t="s">
        <v>2270</v>
      </c>
    </row>
    <row r="24" spans="1:7" s="220" customFormat="1" ht="13.5" customHeight="1">
      <c r="A24" s="888" t="s">
        <v>2160</v>
      </c>
      <c r="B24" s="221" t="s">
        <v>2271</v>
      </c>
      <c r="C24" s="1290" t="e">
        <f ca="1">ROUND(IF('数据-取费表'!B22&lt;=1,C19*F22*('数据-取费表'!B19/2+'数据-取费表'!B20),C19*(POWER((1+F22),('数据-取费表'!B19/2+'数据-取费表'!B20))-1)),0)</f>
        <v>#VALUE!</v>
      </c>
      <c r="D24" s="244"/>
      <c r="E24" s="244"/>
      <c r="F24" s="245"/>
      <c r="G24" s="246" t="s">
        <v>2272</v>
      </c>
    </row>
    <row r="25" spans="1:7" s="220" customFormat="1" ht="24">
      <c r="A25" s="888" t="s">
        <v>2162</v>
      </c>
      <c r="B25" s="221" t="s">
        <v>2273</v>
      </c>
      <c r="C25" s="1290" t="e">
        <f ca="1">ROUND(IF('数据-取费表'!B22&lt;=1,C20*F22*'数据-取费表'!B22/2,C20*(POWER((1+F22),'数据-取费表'!B22/2)-1)),0)</f>
        <v>#VALUE!</v>
      </c>
      <c r="D25" s="244"/>
      <c r="E25" s="247"/>
      <c r="F25" s="245"/>
      <c r="G25" s="248" t="s">
        <v>2274</v>
      </c>
    </row>
    <row r="26" spans="1:7" s="220" customFormat="1">
      <c r="A26" s="888" t="s">
        <v>795</v>
      </c>
      <c r="B26" s="221" t="s">
        <v>2197</v>
      </c>
      <c r="C26" s="244" t="e">
        <f ca="1">ROUND(IF('数据-取费表'!B22&lt;=1,F21*F22*'数据-取费表'!B22/2,F21*(POWER((1+F22),'数据-取费表'!B22/2)-1)),4)</f>
        <v>#VALUE!</v>
      </c>
      <c r="D26" s="244"/>
      <c r="E26" s="247"/>
      <c r="F26" s="245"/>
      <c r="G26" s="249"/>
    </row>
    <row r="27" spans="1:7" s="220" customFormat="1" ht="24.75">
      <c r="A27" s="261" t="s">
        <v>2198</v>
      </c>
      <c r="B27" s="250" t="s">
        <v>2199</v>
      </c>
      <c r="C27" s="251" t="e">
        <f ca="1">C28</f>
        <v>#DIV/0!</v>
      </c>
      <c r="D27" s="241" t="e">
        <f ca="1">C29</f>
        <v>#DIV/0!</v>
      </c>
      <c r="E27" s="242" t="s">
        <v>2200</v>
      </c>
      <c r="F27" s="252" t="e">
        <f ca="1">IF(B1="",'数据-取费表'!Q16,INDIRECT("'数据-取费表'!q"&amp;$G$1))</f>
        <v>#DIV/0!</v>
      </c>
      <c r="G27" s="253" t="s">
        <v>2201</v>
      </c>
    </row>
    <row r="28" spans="1:7" s="220" customFormat="1" ht="13.5" customHeight="1">
      <c r="A28" s="888" t="s">
        <v>791</v>
      </c>
      <c r="B28" s="254" t="s">
        <v>2202</v>
      </c>
      <c r="C28" s="255" t="e">
        <f ca="1">ROUND((C5+C19+C20)*F27,0)</f>
        <v>#DIV/0!</v>
      </c>
      <c r="D28" s="241"/>
      <c r="E28" s="242"/>
      <c r="F28" s="252"/>
      <c r="G28" s="253"/>
    </row>
    <row r="29" spans="1:7" s="220" customFormat="1" ht="13.5" customHeight="1">
      <c r="A29" s="888" t="s">
        <v>792</v>
      </c>
      <c r="B29" s="254" t="s">
        <v>2203</v>
      </c>
      <c r="C29" s="244" t="e">
        <f ca="1">ROUND(C21*F27,4)</f>
        <v>#DIV/0!</v>
      </c>
      <c r="D29" s="241"/>
      <c r="E29" s="242"/>
      <c r="F29" s="252"/>
      <c r="G29" s="253"/>
    </row>
    <row r="30" spans="1:7" s="220" customFormat="1" ht="13.5" customHeight="1">
      <c r="A30" s="261" t="s">
        <v>2204</v>
      </c>
      <c r="B30" s="216" t="s">
        <v>2205</v>
      </c>
      <c r="C30" s="241">
        <f>ROUND(F30/(1+'数据-取费表'!C42),4)</f>
        <v>0</v>
      </c>
      <c r="D30" s="242" t="s">
        <v>2200</v>
      </c>
      <c r="E30" s="247"/>
      <c r="F30" s="243">
        <f>'数据-取费表'!B41</f>
        <v>0</v>
      </c>
      <c r="G30" s="240" t="s">
        <v>2206</v>
      </c>
    </row>
    <row r="31" spans="1:7" ht="16.5" customHeight="1">
      <c r="A31" s="215">
        <v>1</v>
      </c>
      <c r="B31" s="216" t="s">
        <v>2207</v>
      </c>
      <c r="C31" s="217" t="e">
        <f ca="1">ROUND((C5+C19+C20+C22+C27)/(1-C21-D22-D27-C30),0)</f>
        <v>#VALUE!</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8" t="s">
        <v>796</v>
      </c>
      <c r="B35" s="221" t="s">
        <v>2213</v>
      </c>
      <c r="C35" s="226">
        <f ca="1">ROUND(C34*F35,0)</f>
        <v>0</v>
      </c>
      <c r="D35" s="226"/>
      <c r="E35" s="226"/>
      <c r="F35" s="265">
        <f>'数据-取费表'!B33</f>
        <v>0</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0</v>
      </c>
      <c r="D37" s="223">
        <f ca="1">D19</f>
        <v>622.69000000000005</v>
      </c>
      <c r="E37" s="255">
        <f>'数据-取费表'!B35</f>
        <v>0</v>
      </c>
      <c r="F37" s="265"/>
      <c r="G37" s="267"/>
    </row>
    <row r="38" spans="1:7" ht="13.5" customHeight="1">
      <c r="A38" s="888" t="s">
        <v>799</v>
      </c>
      <c r="B38" s="221" t="s">
        <v>2219</v>
      </c>
      <c r="C38" s="226">
        <f ca="1">ROUND(C34*F38,0)</f>
        <v>0</v>
      </c>
      <c r="D38" s="226"/>
      <c r="E38" s="226"/>
      <c r="F38" s="265">
        <f>'数据-取费表'!B36</f>
        <v>0</v>
      </c>
      <c r="G38" s="225" t="s">
        <v>2214</v>
      </c>
    </row>
    <row r="39" spans="1:7" s="220" customFormat="1" ht="13.5" customHeight="1">
      <c r="A39" s="261" t="s">
        <v>2220</v>
      </c>
      <c r="B39" s="216" t="s">
        <v>2221</v>
      </c>
      <c r="C39" s="238">
        <f ca="1">ROUND(C33*F20,0)</f>
        <v>0</v>
      </c>
      <c r="D39" s="238"/>
      <c r="E39" s="238"/>
      <c r="F39" s="2537">
        <f>F20</f>
        <v>0</v>
      </c>
      <c r="G39" s="240" t="s">
        <v>2222</v>
      </c>
    </row>
    <row r="40" spans="1:7" s="220" customFormat="1" ht="13.5" customHeight="1">
      <c r="A40" s="261" t="s">
        <v>2223</v>
      </c>
      <c r="B40" s="216" t="s">
        <v>2224</v>
      </c>
      <c r="C40" s="1497">
        <f>F21</f>
        <v>0</v>
      </c>
      <c r="D40" s="242" t="s">
        <v>2225</v>
      </c>
      <c r="E40" s="238"/>
      <c r="F40" s="2537">
        <f>F21</f>
        <v>0</v>
      </c>
      <c r="G40" s="240" t="s">
        <v>2226</v>
      </c>
    </row>
    <row r="41" spans="1:7" s="220" customFormat="1" ht="13.5" customHeight="1">
      <c r="A41" s="261" t="s">
        <v>2227</v>
      </c>
      <c r="B41" s="216" t="s">
        <v>2228</v>
      </c>
      <c r="C41" s="238" t="e">
        <f ca="1">ROUND(SUM(C42:C43),0)</f>
        <v>#VALUE!</v>
      </c>
      <c r="D41" s="241" t="e">
        <f ca="1">C44</f>
        <v>#VALUE!</v>
      </c>
      <c r="E41" s="242" t="s">
        <v>2225</v>
      </c>
      <c r="F41" s="2538" t="e">
        <f ca="1">F22</f>
        <v>#VALUE!</v>
      </c>
      <c r="G41" s="240" t="str">
        <f>IF('数据-取费表'!B22&lt;=1,"单利计息","复利计息")</f>
        <v>单利计息</v>
      </c>
    </row>
    <row r="42" spans="1:7" ht="13.5" customHeight="1">
      <c r="A42" s="888" t="s">
        <v>791</v>
      </c>
      <c r="B42" s="221" t="s">
        <v>2229</v>
      </c>
      <c r="C42" s="244" t="e">
        <f ca="1">ROUND(IF('数据-取费表'!B22&lt;=1,C33*F22*'数据-取费表'!B20/2,C33*(POWER((1+F22),'数据-取费表'!B20/2)-1)),0)</f>
        <v>#VALUE!</v>
      </c>
      <c r="D42" s="244"/>
      <c r="E42" s="244"/>
      <c r="F42" s="245"/>
      <c r="G42" s="3231" t="s">
        <v>2277</v>
      </c>
    </row>
    <row r="43" spans="1:7" ht="13.5" customHeight="1">
      <c r="A43" s="888" t="s">
        <v>792</v>
      </c>
      <c r="B43" s="221" t="s">
        <v>2231</v>
      </c>
      <c r="C43" s="244" t="e">
        <f ca="1">ROUND(IF('数据-取费表'!B22&lt;=1,C39*F22*'数据-取费表'!B20/2,C39*(POWER((1+F22),'数据-取费表'!B20/2)-1)),0)</f>
        <v>#VALUE!</v>
      </c>
      <c r="D43" s="244"/>
      <c r="E43" s="244"/>
      <c r="F43" s="245"/>
      <c r="G43" s="3232"/>
    </row>
    <row r="44" spans="1:7" ht="13.5" customHeight="1">
      <c r="A44" s="888" t="s">
        <v>793</v>
      </c>
      <c r="B44" s="221" t="s">
        <v>2232</v>
      </c>
      <c r="C44" s="244" t="e">
        <f ca="1">ROUND(IF('数据-取费表'!B22&lt;=1,C40*F22*'数据-取费表'!B20/2,C40*(POWER((1+F22),'数据-取费表'!B20/2)-1)),4)</f>
        <v>#VALUE!</v>
      </c>
      <c r="D44" s="244"/>
      <c r="E44" s="244"/>
      <c r="F44" s="245"/>
      <c r="G44" s="3233"/>
    </row>
    <row r="45" spans="1:7" s="220" customFormat="1" ht="13.5" customHeight="1">
      <c r="A45" s="261" t="s">
        <v>2233</v>
      </c>
      <c r="B45" s="250" t="s">
        <v>2199</v>
      </c>
      <c r="C45" s="251" t="e">
        <f ca="1">C46</f>
        <v>#DIV/0!</v>
      </c>
      <c r="D45" s="241" t="e">
        <f ca="1">C47</f>
        <v>#DIV/0!</v>
      </c>
      <c r="E45" s="242" t="s">
        <v>2225</v>
      </c>
      <c r="F45" s="2539" t="e">
        <f ca="1">F27</f>
        <v>#DIV/0!</v>
      </c>
      <c r="G45" s="253" t="s">
        <v>2234</v>
      </c>
    </row>
    <row r="46" spans="1:7" s="220" customFormat="1" ht="13.5" customHeight="1">
      <c r="A46" s="888" t="s">
        <v>791</v>
      </c>
      <c r="B46" s="254" t="s">
        <v>2235</v>
      </c>
      <c r="C46" s="255" t="e">
        <f ca="1">ROUND((C33+C39)*F27,0)</f>
        <v>#DIV/0!</v>
      </c>
      <c r="D46" s="269"/>
      <c r="E46" s="242"/>
      <c r="F46" s="252"/>
      <c r="G46" s="253"/>
    </row>
    <row r="47" spans="1:7" s="220" customFormat="1" ht="13.5" customHeight="1">
      <c r="A47" s="888" t="s">
        <v>792</v>
      </c>
      <c r="B47" s="254" t="s">
        <v>2236</v>
      </c>
      <c r="C47" s="244" t="e">
        <f ca="1">ROUND(C40*F27,4)</f>
        <v>#DIV/0!</v>
      </c>
      <c r="D47" s="269"/>
      <c r="E47" s="242"/>
      <c r="F47" s="252"/>
      <c r="G47" s="253"/>
    </row>
    <row r="48" spans="1:7" s="220" customFormat="1" ht="13.5" customHeight="1">
      <c r="A48" s="261" t="s">
        <v>2198</v>
      </c>
      <c r="B48" s="216" t="s">
        <v>2237</v>
      </c>
      <c r="C48" s="268">
        <f>ROUND(F30/(1+'数据-取费表'!C42),4)</f>
        <v>0</v>
      </c>
      <c r="D48" s="242" t="s">
        <v>2225</v>
      </c>
      <c r="E48" s="238"/>
      <c r="F48" s="2538">
        <f>F30</f>
        <v>0</v>
      </c>
      <c r="G48" s="240" t="s">
        <v>2238</v>
      </c>
    </row>
    <row r="49" spans="1:7" ht="16.5" customHeight="1">
      <c r="A49" s="261" t="s">
        <v>2204</v>
      </c>
      <c r="B49" s="216" t="s">
        <v>2278</v>
      </c>
      <c r="C49" s="238" t="e">
        <f ca="1">ROUND((C33+C39+C41+C45)/(1-C40-D41-D45-C48),0)</f>
        <v>#VALUE!</v>
      </c>
      <c r="D49" s="238"/>
      <c r="E49" s="238"/>
      <c r="F49" s="270"/>
      <c r="G49" s="240" t="s">
        <v>2240</v>
      </c>
    </row>
    <row r="50" spans="1:7" s="264" customFormat="1">
      <c r="A50" s="261" t="s">
        <v>2241</v>
      </c>
      <c r="B50" s="216" t="s">
        <v>2242</v>
      </c>
      <c r="C50" s="238"/>
      <c r="D50" s="238"/>
      <c r="E50" s="238"/>
      <c r="F50" s="270" t="e">
        <f>IF('数据-取费表'!B24=0,'数据-取费表'!N16,1)</f>
        <v>#DIV/0!</v>
      </c>
      <c r="G50" s="253"/>
    </row>
    <row r="51" spans="1:7" ht="16.5" customHeight="1">
      <c r="A51" s="261" t="s">
        <v>2244</v>
      </c>
      <c r="B51" s="216" t="s">
        <v>2279</v>
      </c>
      <c r="C51" s="238" t="e">
        <f ca="1">ROUND(C49*F50,0)</f>
        <v>#VALUE!</v>
      </c>
      <c r="D51" s="238"/>
      <c r="E51" s="238"/>
      <c r="F51" s="270"/>
      <c r="G51" s="240" t="s">
        <v>2246</v>
      </c>
    </row>
    <row r="52" spans="1:7" s="214" customFormat="1" ht="16.5" thickBot="1">
      <c r="A52" s="271" t="s">
        <v>2247</v>
      </c>
      <c r="B52" s="272"/>
      <c r="C52" s="273" t="e">
        <f ca="1">C31+C51</f>
        <v>#VALUE!</v>
      </c>
      <c r="D52" s="272"/>
      <c r="E52" s="272"/>
      <c r="F52" s="272"/>
      <c r="G52" s="274"/>
    </row>
    <row r="55" spans="1:7" ht="15">
      <c r="B55" s="276" t="s">
        <v>2248</v>
      </c>
      <c r="C55" s="277"/>
    </row>
    <row r="56" spans="1:7">
      <c r="B56" s="279" t="s">
        <v>1478</v>
      </c>
      <c r="C56" s="281" t="e">
        <f ca="1">1-C57</f>
        <v>#VALUE!</v>
      </c>
    </row>
    <row r="57" spans="1:7">
      <c r="B57" s="279" t="s">
        <v>1479</v>
      </c>
      <c r="C57" s="280"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t="e">
        <f ca="1">C32</f>
        <v>#VALUE!</v>
      </c>
      <c r="C2" s="282" t="s">
        <v>2281</v>
      </c>
      <c r="D2" s="282"/>
      <c r="E2" s="3036"/>
      <c r="F2" s="3036"/>
      <c r="G2" s="3036"/>
      <c r="H2" s="3036"/>
      <c r="I2" s="3036"/>
      <c r="J2" s="3036"/>
      <c r="K2" s="3036"/>
    </row>
    <row r="3" spans="1:33" ht="18" customHeight="1" thickBot="1">
      <c r="A3" s="209" t="s">
        <v>2150</v>
      </c>
      <c r="B3" s="210" t="e">
        <f ca="1">ROUND(B2*10000/IF(C1="",'数据-汇总表'!E3,INDIRECT("'数据-取费表'!K"&amp;$K$1)),0)</f>
        <v>#VALUE!</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622.69000000000005</v>
      </c>
      <c r="E14" s="24">
        <f>'数据-取费表'!B35</f>
        <v>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0</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622.69000000000005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622.69000000000005</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v>
      </c>
      <c r="G23" s="8" t="s">
        <v>2322</v>
      </c>
      <c r="H23" s="905"/>
      <c r="I23" s="905"/>
      <c r="J23" s="905"/>
      <c r="K23" s="906"/>
    </row>
    <row r="24" spans="1:33" s="912" customFormat="1" ht="13.5" customHeight="1">
      <c r="A24" s="898" t="s">
        <v>2323</v>
      </c>
      <c r="B24" s="922" t="s">
        <v>2324</v>
      </c>
      <c r="C24" s="286">
        <f>ROUND(F24/(1+'数据-取费表'!C42),4)</f>
        <v>0</v>
      </c>
      <c r="D24" s="287" t="s">
        <v>15</v>
      </c>
      <c r="E24" s="287"/>
      <c r="F24" s="925">
        <f>IF(项目基本情况!B8="出让",0,'数据-取费表'!B48+'数据-取费表'!B49)</f>
        <v>0</v>
      </c>
      <c r="G24" s="8" t="s">
        <v>2325</v>
      </c>
      <c r="H24" s="927"/>
      <c r="I24" s="927"/>
      <c r="J24" s="927"/>
      <c r="K24" s="928"/>
    </row>
    <row r="25" spans="1:33" s="912" customFormat="1" ht="13.5" customHeight="1">
      <c r="A25" s="898" t="s">
        <v>2326</v>
      </c>
      <c r="B25" s="924" t="s">
        <v>2327</v>
      </c>
      <c r="C25" s="1266" t="e">
        <f ca="1">C27</f>
        <v>#VALUE!</v>
      </c>
      <c r="D25" s="286" t="e">
        <f ca="1">C26</f>
        <v>#VALUE!</v>
      </c>
      <c r="E25" s="288" t="s">
        <v>15</v>
      </c>
      <c r="F25" s="289" t="e">
        <f ca="1">'数据-取费表'!B40</f>
        <v>#VALUE!</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t="e">
        <f ca="1">ROUND(IF('数据-取费表'!B22&lt;=1,(1+C24)*F25*'数据-取费表'!B24,(1+C24)*(POWER((1+F25),'数据-取费表'!B24)-1)),4)</f>
        <v>#VALUE!</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t="e">
        <f ca="1">ROUND(IF('数据-取费表'!B22&lt;=1,(C21+C22+C23)*F25*'数据-取费表'!B24/2,(C21+C22+C23)*(POWER((1+F25),'数据-取费表'!B24/2)-1)),0)</f>
        <v>#VALUE!</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2330</v>
      </c>
      <c r="B28" s="2053" t="s">
        <v>2331</v>
      </c>
      <c r="C28" s="293" t="e">
        <f ca="1">C30</f>
        <v>#DIV/0!</v>
      </c>
      <c r="D28" s="286" t="e">
        <f ca="1">C29</f>
        <v>#DIV/0!</v>
      </c>
      <c r="E28" s="288" t="s">
        <v>15</v>
      </c>
      <c r="F28" s="294" t="e">
        <f ca="1">IF(C1="",'数据-取费表'!Q16,INDIRECT("'数据-取费表'!q"&amp;$K$1))</f>
        <v>#DIV/0!</v>
      </c>
      <c r="G28" s="926"/>
      <c r="H28" s="927"/>
      <c r="I28" s="927"/>
      <c r="J28" s="927"/>
      <c r="K28" s="928"/>
    </row>
    <row r="29" spans="1:33" s="297" customFormat="1" ht="13.5" customHeight="1">
      <c r="A29" s="908" t="s">
        <v>803</v>
      </c>
      <c r="B29" s="931" t="s">
        <v>2332</v>
      </c>
      <c r="C29" s="290" t="e">
        <f ca="1">ROUND((1+C24)*F28*'数据-取费表'!B24/'数据-取费表'!B20,4)</f>
        <v>#DIV/0!</v>
      </c>
      <c r="D29" s="290"/>
      <c r="E29" s="291"/>
      <c r="F29" s="296"/>
      <c r="G29" s="136" t="s">
        <v>2333</v>
      </c>
      <c r="H29" s="916"/>
      <c r="I29" s="916"/>
      <c r="J29" s="916"/>
      <c r="K29" s="917"/>
    </row>
    <row r="30" spans="1:33" s="297" customFormat="1" ht="13.5" customHeight="1">
      <c r="A30" s="908" t="s">
        <v>804</v>
      </c>
      <c r="B30" s="931" t="s">
        <v>2334</v>
      </c>
      <c r="C30" s="298" t="e">
        <f ca="1">ROUND((C21+C22+C23)*F28,0)</f>
        <v>#DIV/0!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0</v>
      </c>
      <c r="G31" s="947" t="s">
        <v>2337</v>
      </c>
      <c r="H31" s="948"/>
      <c r="I31" s="948"/>
      <c r="J31" s="948"/>
      <c r="K31" s="949"/>
    </row>
    <row r="32" spans="1:33" s="907" customFormat="1" ht="13.5" customHeight="1" thickBot="1">
      <c r="A32" s="937" t="s">
        <v>2338</v>
      </c>
      <c r="B32" s="938"/>
      <c r="C32" s="939" t="e">
        <f ca="1">ROUND((C4-C21-C22-C23-C25-C28-C31)/(1+C24+D25+D28),0)</f>
        <v>#VALUE!</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#VALUE!</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36" t="s">
        <v>1368</v>
      </c>
      <c r="C6" s="1206">
        <f ca="1">ROUND(F6*F8*F7*(1-F9)/10000,0)</f>
        <v>0</v>
      </c>
      <c r="D6" s="160" t="s">
        <v>2851</v>
      </c>
      <c r="E6" s="308" t="s">
        <v>1370</v>
      </c>
      <c r="F6" s="309">
        <f ca="1">INDIRECT("'数据-取费表'!u"&amp;$G$1)</f>
        <v>0</v>
      </c>
      <c r="G6" s="1570"/>
      <c r="H6" s="1201" t="s">
        <v>1003</v>
      </c>
      <c r="I6" s="3236" t="s">
        <v>1368</v>
      </c>
      <c r="J6" s="307">
        <f ca="1">ROUND(M6*M8*M7*(1-M9)/10000,0)</f>
        <v>0</v>
      </c>
      <c r="K6" s="160" t="s">
        <v>2850</v>
      </c>
      <c r="L6" s="308" t="s">
        <v>1370</v>
      </c>
      <c r="M6" s="309">
        <f ca="1">INDIRECT("'数据-取费表'!z"&amp;$G$1)</f>
        <v>0</v>
      </c>
    </row>
    <row r="7" spans="1:37" ht="18" customHeight="1">
      <c r="A7" s="1205"/>
      <c r="B7" s="3237"/>
      <c r="C7" s="1207"/>
      <c r="D7" s="313"/>
      <c r="E7" s="1208" t="s">
        <v>1371</v>
      </c>
      <c r="F7" s="309">
        <f ca="1">IF(INDIRECT("'数据-取费表'!ah"&amp;$G$1)="",INDIRECT("'数据-取费表'!k"&amp;$G$1),INDIRECT("'数据-取费表'!ah"&amp;$G$1))</f>
        <v>0</v>
      </c>
      <c r="G7" s="1570"/>
      <c r="H7" s="310"/>
      <c r="I7" s="3237"/>
      <c r="J7" s="312"/>
      <c r="K7" s="313"/>
      <c r="L7" s="308" t="s">
        <v>1371</v>
      </c>
      <c r="M7" s="309">
        <f ca="1">F7</f>
        <v>0</v>
      </c>
    </row>
    <row r="8" spans="1:37" ht="18" customHeight="1">
      <c r="A8" s="310"/>
      <c r="B8" s="3237"/>
      <c r="C8" s="312"/>
      <c r="D8" s="313"/>
      <c r="E8" s="308" t="s">
        <v>1372</v>
      </c>
      <c r="F8" s="309">
        <f ca="1">INDIRECT("'数据-取费表'!ai"&amp;$G$1)</f>
        <v>0</v>
      </c>
      <c r="G8" s="1570"/>
      <c r="H8" s="310"/>
      <c r="I8" s="3237"/>
      <c r="J8" s="312"/>
      <c r="K8" s="313"/>
      <c r="L8" s="308" t="s">
        <v>1372</v>
      </c>
      <c r="M8" s="309">
        <f ca="1">INDIRECT("'数据-取费表'!ai"&amp;$G$1)</f>
        <v>0</v>
      </c>
    </row>
    <row r="9" spans="1:37" ht="18" customHeight="1">
      <c r="A9" s="310"/>
      <c r="B9" s="3238"/>
      <c r="C9" s="312"/>
      <c r="D9" s="313"/>
      <c r="E9" s="308" t="s">
        <v>1373</v>
      </c>
      <c r="F9" s="318">
        <f ca="1">INDIRECT("'数据-取费表'!w"&amp;$G$1)</f>
        <v>0</v>
      </c>
      <c r="G9" s="1570"/>
      <c r="H9" s="310"/>
      <c r="I9" s="323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#VALUE!</v>
      </c>
      <c r="D13" s="1241" t="s">
        <v>1380</v>
      </c>
      <c r="E13" s="1241" t="s">
        <v>1381</v>
      </c>
      <c r="F13" s="1242">
        <f ca="1">INDIRECT("'数据-取费表'!y"&amp;$G$1)</f>
        <v>0</v>
      </c>
      <c r="G13" s="1570"/>
      <c r="H13" s="1239">
        <v>2</v>
      </c>
      <c r="I13" s="1240" t="s">
        <v>1379</v>
      </c>
      <c r="J13" s="1200" t="e">
        <f ca="1">ROUND(J14*J15,0)</f>
        <v>#VALUE!</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t="e">
        <f ca="1">C29</f>
        <v>#VALUE!</v>
      </c>
      <c r="K14" s="15"/>
      <c r="L14" s="916"/>
      <c r="M14" s="917"/>
    </row>
    <row r="15" spans="1:37" s="1583" customFormat="1" ht="18" customHeight="1" thickBot="1">
      <c r="A15" s="1113" t="s">
        <v>1004</v>
      </c>
      <c r="B15" s="308" t="s">
        <v>1385</v>
      </c>
      <c r="C15" s="24">
        <f ca="1">ROUND(C14*F15,0)</f>
        <v>0</v>
      </c>
      <c r="D15" s="326" t="s">
        <v>1386</v>
      </c>
      <c r="E15" s="326" t="s">
        <v>1387</v>
      </c>
      <c r="F15" s="327">
        <f>'数据-取费表'!B33</f>
        <v>0</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t="e">
        <f ca="1">ROUND(J17+J22+J23+J24,0)</f>
        <v>#VALUE!</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0</v>
      </c>
      <c r="G17" s="1582"/>
      <c r="H17" s="1113" t="s">
        <v>1003</v>
      </c>
      <c r="I17" s="308" t="s">
        <v>1394</v>
      </c>
      <c r="J17" s="2536" t="e">
        <f ca="1">ROUND(IF(AND(项目基本情况!B11="自然人",项目基本情况!B10="北京市"),J6*M17/(1+'数据-取费表'!C42),J18+J19+J20),0)</f>
        <v>#VALUE!</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0</v>
      </c>
      <c r="G18" s="1582"/>
      <c r="H18" s="1113" t="s">
        <v>1002</v>
      </c>
      <c r="I18" s="308" t="s">
        <v>1398</v>
      </c>
      <c r="J18" s="24">
        <f ca="1">ROUND(J6*M18/(1+'数据-取费表'!C42),2)</f>
        <v>0</v>
      </c>
      <c r="K18" s="1530" t="s">
        <v>1399</v>
      </c>
      <c r="L18" s="308" t="s">
        <v>1387</v>
      </c>
      <c r="M18" s="328">
        <f>'数据-取费表'!B41</f>
        <v>0</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t="e">
        <f ca="1">IF(K19="按租金收入计税",ROUND(J6*M19/(1+'数据-取费表'!C42),2),ROUND(C29*M19*0.7,2))</f>
        <v>#VALUE!</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t="e">
        <f ca="1">ROUND(J14*M22,1)</f>
        <v>#VALUE!</v>
      </c>
      <c r="K22" s="1530" t="s">
        <v>1415</v>
      </c>
      <c r="L22" s="308" t="s">
        <v>1387</v>
      </c>
      <c r="M22" s="334">
        <f ca="1">INDIRECT("'数据-取费表'!Ak"&amp;$G$1)</f>
        <v>0</v>
      </c>
    </row>
    <row r="23" spans="1:37" s="1583" customFormat="1" ht="18" customHeight="1">
      <c r="A23" s="1113" t="s">
        <v>1002</v>
      </c>
      <c r="B23" s="308" t="s">
        <v>1416</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1417</v>
      </c>
      <c r="F23" s="331">
        <f>'数据-取费表'!B20</f>
        <v>0</v>
      </c>
      <c r="G23" s="1582"/>
      <c r="H23" s="1113" t="s">
        <v>1043</v>
      </c>
      <c r="I23" s="308" t="s">
        <v>1418</v>
      </c>
      <c r="J23" s="24" t="e">
        <f ca="1">ROUND(J13*M23,1)</f>
        <v>#VALUE!</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t="e">
        <f ca="1">ROUND(IF('数据-取费表'!B22&lt;=1,F21*F24*F23/2,F21*(POWER((1+F24),F23/2)-1)),4)</f>
        <v>#VALUE!</v>
      </c>
      <c r="D24" s="335" t="str">
        <f>IF(F23&lt;=1,"销售费用×利率×(建设周期÷2)","销售费用×((1+利率)^(建设周期÷2)-1)")</f>
        <v>销售费用×利率×(建设周期÷2)</v>
      </c>
      <c r="E24" s="308" t="s">
        <v>1423</v>
      </c>
      <c r="F24" s="337" t="e">
        <f ca="1">'数据-取费表'!B40</f>
        <v>#VALUE!</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#VALUE!</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0</v>
      </c>
      <c r="D28" s="329" t="s">
        <v>1441</v>
      </c>
      <c r="E28" s="308" t="s">
        <v>1387</v>
      </c>
      <c r="F28" s="328">
        <f>'数据-取费表'!B41</f>
        <v>0</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#VALUE!</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#VALUE!</v>
      </c>
      <c r="D30" s="1247" t="s">
        <v>1390</v>
      </c>
      <c r="E30" s="1248"/>
      <c r="F30" s="1204"/>
      <c r="G30" s="1570"/>
      <c r="H30" s="2925"/>
      <c r="I30" s="1584"/>
      <c r="J30" s="1585"/>
      <c r="K30" s="2700"/>
      <c r="L30" s="2926"/>
      <c r="M30" s="2927"/>
    </row>
    <row r="31" spans="1:37" ht="18" customHeight="1">
      <c r="A31" s="1113" t="s">
        <v>1003</v>
      </c>
      <c r="B31" s="308" t="s">
        <v>1394</v>
      </c>
      <c r="C31" s="2536" t="e">
        <f ca="1">ROUND(IF(AND(项目基本情况!B11="自然人",项目基本情况!B10="北京市"),C6*F31/(1+'数据-取费表'!C42),C32+C33+C34),0)</f>
        <v>#VALUE!</v>
      </c>
      <c r="D31" s="1531" t="s">
        <v>1395</v>
      </c>
      <c r="E31" s="1530" t="s">
        <v>1446</v>
      </c>
      <c r="F31" s="2535" t="str">
        <f>IF(项目基本情况!B11="企业","——",IF('数据-取费表'!B10="住宅",IF(F6*F7*F8/12/(1+'数据-取费表'!F30)&gt;100000,4%,2.5%),IF(F6*F7*F8/12/(1+'数据-取费表'!F30)&gt;100000,12%,7%)))</f>
        <v>——</v>
      </c>
      <c r="G31" s="1570"/>
      <c r="H31" s="3038" t="s">
        <v>3056</v>
      </c>
      <c r="I31" s="1584"/>
      <c r="J31" s="1585"/>
      <c r="K31" s="2700"/>
      <c r="L31" s="2926"/>
      <c r="M31" s="2927"/>
    </row>
    <row r="32" spans="1:37" ht="18" customHeight="1">
      <c r="A32" s="1113" t="s">
        <v>1002</v>
      </c>
      <c r="B32" s="308" t="s">
        <v>1398</v>
      </c>
      <c r="C32" s="24">
        <f ca="1">IF(项目基本情况!B11="自然人","——",ROUND(C6*F32/(1+'数据-取费表'!C42),2))</f>
        <v>0</v>
      </c>
      <c r="D32" s="1530" t="s">
        <v>1399</v>
      </c>
      <c r="E32" s="308" t="s">
        <v>1387</v>
      </c>
      <c r="F32" s="337">
        <f>'数据-取费表'!B41</f>
        <v>0</v>
      </c>
      <c r="G32" s="1570"/>
      <c r="H32" s="2925"/>
      <c r="I32" s="1584"/>
      <c r="J32" s="1585"/>
      <c r="K32" s="2700"/>
      <c r="L32" s="2926"/>
      <c r="M32" s="2927"/>
    </row>
    <row r="33" spans="1:18" ht="18" customHeight="1">
      <c r="A33" s="1113" t="s">
        <v>1004</v>
      </c>
      <c r="B33" s="308" t="s">
        <v>1402</v>
      </c>
      <c r="C33" s="24" t="e">
        <f ca="1">IF(项目基本情况!B11="自然人","——",IF(D33="按租金收入计税",ROUND(C6*F33/(1+'数据-取费表'!C42),2),IF(D33="按房产原值计税",ROUND(C29*F33*0.7,2),INDIRECT("'数据-取费表'!Aj"&amp;$G$1))))</f>
        <v>#VALUE!</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0</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t="e">
        <f ca="1">ROUND(C29*F36,1)</f>
        <v>#VALUE!</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t="e">
        <f ca="1">ROUND(C13*F37,1)</f>
        <v>#VALUE!</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t="e">
        <f ca="1">C5-C30</f>
        <v>#VALUE!</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#VALUE!</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#VALUE!</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#VALUE!</v>
      </c>
      <c r="D46" s="1592" t="str">
        <f>C2</f>
        <v>万元</v>
      </c>
      <c r="E46" s="1586"/>
      <c r="F46" s="1586"/>
      <c r="I46" s="1593" t="s">
        <v>1486</v>
      </c>
      <c r="J46" s="1594"/>
      <c r="K46" s="1595"/>
      <c r="L46" s="1596" t="e">
        <f ca="1">IF(M47="住宅",0,IF(L48&gt;J51,L60,J60))</f>
        <v>#VALUE!</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#VALUE!</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#VALUE!</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c r="K49" s="1609" t="s">
        <v>1500</v>
      </c>
      <c r="L49" s="1613"/>
      <c r="O49" s="1614" t="s">
        <v>1010</v>
      </c>
      <c r="P49" s="1605" t="s">
        <v>1501</v>
      </c>
      <c r="Q49" s="1606" t="e">
        <f ca="1">C29</f>
        <v>#VALUE!</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t="e">
        <f ca="1">ROUND(-PV(INDIRECT("'数据-取费表'!h"&amp;$G$1),J51,(C39-C13*C76),0),0)</f>
        <v>#VALUE!</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34" t="s">
        <v>1513</v>
      </c>
      <c r="L53" s="3235"/>
      <c r="O53" s="1604" t="s">
        <v>1014</v>
      </c>
      <c r="P53" s="1605" t="s">
        <v>1514</v>
      </c>
      <c r="Q53" s="1606" t="e">
        <f ca="1">Q47+Q48</f>
        <v>#VALUE!</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#VALUE!</v>
      </c>
      <c r="D56" s="1633"/>
      <c r="E56" s="1634"/>
      <c r="F56" s="1626"/>
      <c r="I56" s="1635" t="s">
        <v>1519</v>
      </c>
      <c r="J56" s="1636"/>
      <c r="K56" s="1607" t="s">
        <v>1520</v>
      </c>
      <c r="L56" s="1610">
        <f ca="1">IF(L48&lt;J51,"——",L48-J53)</f>
        <v>0</v>
      </c>
      <c r="O56" s="1604" t="s">
        <v>1008</v>
      </c>
      <c r="P56" s="1605" t="s">
        <v>1493</v>
      </c>
      <c r="Q56" s="1606" t="e">
        <f ca="1">C40+J29</f>
        <v>#VALUE!</v>
      </c>
      <c r="R56" s="1606" t="s">
        <v>1494</v>
      </c>
    </row>
    <row r="57" spans="1:18" s="1570" customFormat="1" ht="24.75" thickBot="1">
      <c r="A57" s="1637"/>
      <c r="B57" s="1081" t="s">
        <v>1443</v>
      </c>
      <c r="C57" s="244" t="e">
        <f ca="1">C29</f>
        <v>#VALUE!</v>
      </c>
      <c r="D57" s="1638"/>
      <c r="E57" s="1639"/>
      <c r="F57" s="1640"/>
      <c r="I57" s="1641" t="s">
        <v>1521</v>
      </c>
      <c r="J57" s="1642">
        <f ca="1">IF(OR(M47="住宅",J51&lt;L48,J56="是"),"——",J51-L48)</f>
        <v>0</v>
      </c>
      <c r="K57" s="1607" t="s">
        <v>1522</v>
      </c>
      <c r="L57" s="1610" t="e">
        <f ca="1">IF(L48&lt;J51,"——",IF(L55="比较法",L49,IF(L55="基准地价",L50,L51)))</f>
        <v>#VALUE!</v>
      </c>
      <c r="O57" s="1604" t="s">
        <v>1009</v>
      </c>
      <c r="P57" s="1605" t="s">
        <v>1523</v>
      </c>
      <c r="Q57" s="1606" t="e">
        <f ca="1">L60</f>
        <v>#VALUE!</v>
      </c>
      <c r="R57" s="1606" t="s">
        <v>1524</v>
      </c>
    </row>
    <row r="58" spans="1:18" s="1570" customFormat="1" ht="24.75" thickBot="1">
      <c r="A58" s="321" t="s">
        <v>998</v>
      </c>
      <c r="B58" s="1089" t="s">
        <v>1389</v>
      </c>
      <c r="C58" s="322" t="e">
        <f ca="1">ROUND(C59+C64+C65+C66,0)</f>
        <v>#VALUE!</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t="e">
        <f ca="1">ROUND(IF(AND(项目基本情况!B11="自然人",项目基本情况!B10="北京市"),C49*F59/(1+'数据-取费表'!C42),C60+C61+C62),0)</f>
        <v>#VALUE!</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#VALUE!</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0</v>
      </c>
      <c r="I60" s="1644" t="s">
        <v>1530</v>
      </c>
      <c r="J60" s="1645" t="e">
        <f ca="1">IF(OR(M47="住宅",J51&lt;L48,J56="是"),"0",ROUND(J59/(1+J52)^J53,0))</f>
        <v>#VALUE!</v>
      </c>
      <c r="K60" s="1646" t="s">
        <v>1531</v>
      </c>
      <c r="L60" s="1645" t="e">
        <f ca="1">IF(OR(M47="住宅",L48&lt;J51),0,ROUND(L57*(L58/L59-1),0))</f>
        <v>#VALUE!</v>
      </c>
      <c r="O60" s="1614" t="s">
        <v>1012</v>
      </c>
      <c r="P60" s="1605" t="s">
        <v>1532</v>
      </c>
      <c r="Q60" s="1606" t="e">
        <f ca="1">L58</f>
        <v>#DIV/0!</v>
      </c>
      <c r="R60" s="1606" t="s">
        <v>1533</v>
      </c>
    </row>
    <row r="61" spans="1:18" s="1570" customFormat="1" ht="13.5" thickBot="1">
      <c r="A61" s="1113" t="s">
        <v>1457</v>
      </c>
      <c r="B61" s="1081" t="s">
        <v>1458</v>
      </c>
      <c r="C61" s="24" t="e">
        <f ca="1">IF(项目基本情况!B11="自然人","——",IF(D61="按租金收入计税",ROUND(C48*F61,2),IF(D61="按房产原值计税",ROUND(C57*F61*0.7,2),INDIRECT("'数据-取费表'!Aj"&amp;$G$1))))</f>
        <v>#VALUE!</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#VALUE!</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ROUND(C57*F64,1)</f>
        <v>#VALUE!</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#VALUE!</v>
      </c>
      <c r="D65" s="1095" t="s">
        <v>1419</v>
      </c>
      <c r="E65" s="1081" t="s">
        <v>1420</v>
      </c>
      <c r="F65" s="336">
        <f t="shared" ca="1" si="0"/>
        <v>0</v>
      </c>
      <c r="I65" s="1648" t="s">
        <v>1544</v>
      </c>
      <c r="J65" s="1649">
        <v>40</v>
      </c>
      <c r="K65" s="1649">
        <v>30</v>
      </c>
      <c r="L65" s="1649">
        <v>50</v>
      </c>
      <c r="M65" s="1651">
        <v>0.02</v>
      </c>
      <c r="O65" s="1604" t="s">
        <v>1008</v>
      </c>
      <c r="P65" s="1605" t="s">
        <v>1545</v>
      </c>
      <c r="Q65" s="1606" t="e">
        <f ca="1">C40+J29</f>
        <v>#VALUE!</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#VALUE!</v>
      </c>
      <c r="R66" s="1606" t="s">
        <v>1546</v>
      </c>
    </row>
    <row r="67" spans="1:18" s="1570" customFormat="1" ht="16.5" thickBot="1">
      <c r="A67" s="1088" t="s">
        <v>999</v>
      </c>
      <c r="B67" s="1098" t="s">
        <v>1428</v>
      </c>
      <c r="C67" s="322" t="e">
        <f ca="1">C48-C58</f>
        <v>#VALUE!</v>
      </c>
      <c r="D67" s="1094" t="s">
        <v>1429</v>
      </c>
      <c r="E67" s="1099"/>
      <c r="F67" s="1100"/>
      <c r="O67" s="1614" t="s">
        <v>1010</v>
      </c>
      <c r="P67" s="1605" t="s">
        <v>1527</v>
      </c>
      <c r="Q67" s="1652" t="e">
        <f ca="1">L51</f>
        <v>#VALUE!</v>
      </c>
      <c r="R67" s="1606" t="s">
        <v>1547</v>
      </c>
    </row>
    <row r="68" spans="1:18" s="1570" customFormat="1" ht="16.5" thickBot="1">
      <c r="A68" s="1078" t="s">
        <v>1000</v>
      </c>
      <c r="B68" s="1079" t="s">
        <v>1450</v>
      </c>
      <c r="C68" s="307" t="e">
        <f ca="1">ROUND(C67*(1-((1+F70)/(1+F68))^F69)/(F68-F70),0)</f>
        <v>#VALUE!</v>
      </c>
      <c r="D68" s="1096" t="s">
        <v>1434</v>
      </c>
      <c r="E68" s="1081" t="s">
        <v>1435</v>
      </c>
      <c r="F68" s="318">
        <f ca="1">F40</f>
        <v>0</v>
      </c>
      <c r="O68" s="1614" t="s">
        <v>1011</v>
      </c>
      <c r="P68" s="1653" t="s">
        <v>1548</v>
      </c>
      <c r="Q68" s="1606" t="e">
        <f ca="1">ROUND(Q69-Q70*Q71,0)</f>
        <v>#VALUE!</v>
      </c>
      <c r="R68" s="1606" t="s">
        <v>1019</v>
      </c>
    </row>
    <row r="69" spans="1:18" s="1570" customFormat="1" ht="13.5" thickBot="1">
      <c r="A69" s="1082"/>
      <c r="B69" s="1083"/>
      <c r="C69" s="312"/>
      <c r="D69" s="1101" t="s">
        <v>1438</v>
      </c>
      <c r="E69" s="1081" t="s">
        <v>1439</v>
      </c>
      <c r="F69" s="339">
        <f ca="1">F41</f>
        <v>0</v>
      </c>
      <c r="O69" s="1614" t="s">
        <v>1016</v>
      </c>
      <c r="P69" s="1653" t="s">
        <v>1549</v>
      </c>
      <c r="Q69" s="1606" t="e">
        <f ca="1">C39</f>
        <v>#VALUE!</v>
      </c>
      <c r="R69" s="1606" t="s">
        <v>1494</v>
      </c>
    </row>
    <row r="70" spans="1:18" s="1570" customFormat="1" ht="13.5" thickBot="1">
      <c r="A70" s="1085"/>
      <c r="B70" s="1086"/>
      <c r="C70" s="316"/>
      <c r="D70" s="1097"/>
      <c r="E70" s="1081" t="s">
        <v>1442</v>
      </c>
      <c r="F70" s="1185"/>
      <c r="O70" s="1614" t="s">
        <v>1017</v>
      </c>
      <c r="P70" s="1653" t="s">
        <v>1550</v>
      </c>
      <c r="Q70" s="1606" t="e">
        <f ca="1">C13</f>
        <v>#VALUE!</v>
      </c>
      <c r="R70" s="1606" t="s">
        <v>1494</v>
      </c>
    </row>
    <row r="71" spans="1:18" s="1570" customFormat="1" ht="13.5" thickBot="1">
      <c r="A71" s="1102" t="s">
        <v>1001</v>
      </c>
      <c r="B71" s="1103" t="s">
        <v>1452</v>
      </c>
      <c r="C71" s="342" t="e">
        <f ca="1">ROUND(C68*10000/F71,0)</f>
        <v>#VALUE!</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t="e">
        <f ca="1">ROUND(C13*C76,0)</f>
        <v>#VALUE!</v>
      </c>
      <c r="D75" s="1570"/>
      <c r="E75" s="1570"/>
      <c r="F75" s="1570"/>
      <c r="K75" s="1588"/>
      <c r="L75" s="1570"/>
      <c r="O75" s="1604" t="s">
        <v>1014</v>
      </c>
      <c r="P75" s="1605" t="s">
        <v>1514</v>
      </c>
      <c r="Q75" s="1606" t="e">
        <f ca="1">Q65+Q66</f>
        <v>#VALUE!</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#VALUE!</v>
      </c>
    </row>
    <row r="80" spans="1:18">
      <c r="B80" s="346" t="s">
        <v>1476</v>
      </c>
      <c r="C80" s="280" t="e">
        <f ca="1">ROUND(C75/C39,3)</f>
        <v>#VALUE!</v>
      </c>
    </row>
    <row r="81" spans="2:3">
      <c r="B81" s="276" t="s">
        <v>1477</v>
      </c>
      <c r="C81" s="244"/>
    </row>
    <row r="82" spans="2:3">
      <c r="B82" s="279" t="s">
        <v>1478</v>
      </c>
      <c r="C82" s="281" t="e">
        <f ca="1">1-C83</f>
        <v>#VALUE!</v>
      </c>
    </row>
    <row r="83" spans="2:3">
      <c r="B83" s="279" t="s">
        <v>1479</v>
      </c>
      <c r="C83" s="280"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D12" zoomScale="90" zoomScaleNormal="60" zoomScaleSheetLayoutView="90" workbookViewId="0">
      <selection activeCell="J40" sqref="J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622.69000000000005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80" t="s">
        <v>2467</v>
      </c>
      <c r="D4" s="3281"/>
      <c r="E4" s="3282" t="s">
        <v>2468</v>
      </c>
      <c r="F4" s="3283"/>
      <c r="G4" s="3280" t="s">
        <v>2469</v>
      </c>
      <c r="H4" s="3281"/>
      <c r="I4" s="3280" t="s">
        <v>2470</v>
      </c>
      <c r="J4" s="3281"/>
      <c r="K4" s="567" t="s">
        <v>2471</v>
      </c>
      <c r="L4" s="1044"/>
      <c r="M4" s="1045"/>
      <c r="N4" s="1045"/>
      <c r="O4" s="1045"/>
      <c r="P4" s="3284" t="s">
        <v>2472</v>
      </c>
      <c r="Q4" s="3285"/>
      <c r="R4" s="3290" t="s">
        <v>2468</v>
      </c>
      <c r="S4" s="3291"/>
      <c r="T4" s="3290" t="s">
        <v>2469</v>
      </c>
      <c r="U4" s="3291"/>
      <c r="V4" s="3296" t="s">
        <v>2470</v>
      </c>
      <c r="W4" s="3296"/>
      <c r="X4" s="1541"/>
      <c r="Y4" s="3290" t="s">
        <v>2472</v>
      </c>
      <c r="Z4" s="3291"/>
      <c r="AA4" s="3277" t="s">
        <v>2468</v>
      </c>
      <c r="AB4" s="3278" t="s">
        <v>2469</v>
      </c>
      <c r="AC4" s="3277" t="s">
        <v>2470</v>
      </c>
    </row>
    <row r="5" spans="1:29" ht="15">
      <c r="A5" s="364"/>
      <c r="B5" s="365"/>
      <c r="C5" s="3299" t="s">
        <v>2363</v>
      </c>
      <c r="D5" s="3300"/>
      <c r="E5" s="3306" t="s">
        <v>2364</v>
      </c>
      <c r="F5" s="3307"/>
      <c r="G5" s="3299" t="s">
        <v>2365</v>
      </c>
      <c r="H5" s="3300"/>
      <c r="I5" s="3299" t="s">
        <v>2366</v>
      </c>
      <c r="J5" s="3300"/>
      <c r="K5" s="567"/>
      <c r="L5" s="1044"/>
      <c r="M5" s="1045"/>
      <c r="N5" s="1045"/>
      <c r="O5" s="1045"/>
      <c r="P5" s="3286"/>
      <c r="Q5" s="3287"/>
      <c r="R5" s="3292"/>
      <c r="S5" s="3293"/>
      <c r="T5" s="3292"/>
      <c r="U5" s="3293"/>
      <c r="V5" s="3296"/>
      <c r="W5" s="3296"/>
      <c r="X5" s="1541"/>
      <c r="Y5" s="3292"/>
      <c r="Z5" s="3293"/>
      <c r="AA5" s="3278"/>
      <c r="AB5" s="3278"/>
      <c r="AC5" s="3278"/>
    </row>
    <row r="6" spans="1:29" ht="15.75" thickBot="1">
      <c r="A6" s="366"/>
      <c r="B6" s="367"/>
      <c r="C6" s="3297" t="s">
        <v>2367</v>
      </c>
      <c r="D6" s="3298"/>
      <c r="E6" s="3304" t="s">
        <v>2367</v>
      </c>
      <c r="F6" s="3305"/>
      <c r="G6" s="3297" t="s">
        <v>2367</v>
      </c>
      <c r="H6" s="3298"/>
      <c r="I6" s="3297" t="s">
        <v>2367</v>
      </c>
      <c r="J6" s="3298"/>
      <c r="K6" s="567" t="s">
        <v>2368</v>
      </c>
      <c r="L6" s="1044"/>
      <c r="M6" s="1045"/>
      <c r="N6" s="1045"/>
      <c r="O6" s="1045"/>
      <c r="P6" s="3288"/>
      <c r="Q6" s="3289"/>
      <c r="R6" s="3292"/>
      <c r="S6" s="3293"/>
      <c r="T6" s="3294"/>
      <c r="U6" s="3295"/>
      <c r="V6" s="3296"/>
      <c r="W6" s="3296"/>
      <c r="X6" s="1541"/>
      <c r="Y6" s="3294"/>
      <c r="Z6" s="3295"/>
      <c r="AA6" s="3279"/>
      <c r="AB6" s="3279"/>
      <c r="AC6" s="3279"/>
    </row>
    <row r="7" spans="1:29" s="113" customFormat="1" ht="15.75" thickBot="1">
      <c r="A7" s="368" t="s">
        <v>2369</v>
      </c>
      <c r="B7" s="369"/>
      <c r="C7" s="370">
        <f>'数据-取费表'!B2</f>
        <v>44187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5"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5"/>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5"/>
      <c r="Q11" s="1529" t="str">
        <f t="shared" si="6"/>
        <v>容积率</v>
      </c>
      <c r="R11" s="710" t="s">
        <v>17</v>
      </c>
      <c r="S11" s="711" t="e">
        <f t="shared" si="0"/>
        <v>#N/A</v>
      </c>
      <c r="T11" s="710" t="s">
        <v>17</v>
      </c>
      <c r="U11" s="711" t="e">
        <f t="shared" si="1"/>
        <v>#N/A</v>
      </c>
      <c r="V11" s="710" t="s">
        <v>17</v>
      </c>
      <c r="W11" s="711" t="e">
        <f t="shared" si="2"/>
        <v>#N/A</v>
      </c>
      <c r="X11" s="712"/>
      <c r="Y11" s="313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5"/>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5"/>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5"/>
      <c r="Q14" s="1529">
        <f t="shared" si="6"/>
        <v>111</v>
      </c>
      <c r="R14" s="710" t="s">
        <v>17</v>
      </c>
      <c r="S14" s="711">
        <f t="shared" si="0"/>
        <v>100</v>
      </c>
      <c r="T14" s="710" t="s">
        <v>17</v>
      </c>
      <c r="U14" s="711">
        <f t="shared" si="1"/>
        <v>100</v>
      </c>
      <c r="V14" s="710" t="s">
        <v>17</v>
      </c>
      <c r="W14" s="711">
        <f t="shared" si="2"/>
        <v>100</v>
      </c>
      <c r="X14" s="712"/>
      <c r="Y14" s="3135"/>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7" t="s">
        <v>2381</v>
      </c>
      <c r="Q15" s="1538" t="str">
        <f t="shared" si="6"/>
        <v>产业集聚程度</v>
      </c>
      <c r="R15" s="714" t="s">
        <v>17</v>
      </c>
      <c r="S15" s="715">
        <f t="shared" si="0"/>
        <v>100</v>
      </c>
      <c r="T15" s="714" t="s">
        <v>17</v>
      </c>
      <c r="U15" s="715">
        <f t="shared" si="1"/>
        <v>100</v>
      </c>
      <c r="V15" s="714" t="s">
        <v>17</v>
      </c>
      <c r="W15" s="715">
        <f t="shared" si="2"/>
        <v>100</v>
      </c>
      <c r="X15" s="1541"/>
      <c r="Y15" s="3267"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68"/>
      <c r="Q16" s="1538"/>
      <c r="R16" s="714"/>
      <c r="S16" s="715"/>
      <c r="T16" s="714"/>
      <c r="U16" s="715"/>
      <c r="V16" s="714"/>
      <c r="W16" s="715"/>
      <c r="X16" s="1541"/>
      <c r="Y16" s="3268"/>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68"/>
      <c r="Q17" s="1538" t="str">
        <f>B17</f>
        <v>交通便捷度</v>
      </c>
      <c r="R17" s="714" t="s">
        <v>17</v>
      </c>
      <c r="S17" s="715">
        <f>F17</f>
        <v>100</v>
      </c>
      <c r="T17" s="714" t="s">
        <v>17</v>
      </c>
      <c r="U17" s="715">
        <f>H17</f>
        <v>100</v>
      </c>
      <c r="V17" s="714" t="s">
        <v>17</v>
      </c>
      <c r="W17" s="715">
        <f>J17</f>
        <v>100</v>
      </c>
      <c r="X17" s="1541"/>
      <c r="Y17" s="326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68"/>
      <c r="Q18" s="1538"/>
      <c r="R18" s="714"/>
      <c r="S18" s="715"/>
      <c r="T18" s="714"/>
      <c r="U18" s="715"/>
      <c r="V18" s="714"/>
      <c r="W18" s="715"/>
      <c r="X18" s="1541"/>
      <c r="Y18" s="3268"/>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68"/>
      <c r="Q19" s="1538" t="str">
        <f>B19</f>
        <v>公共配套设施</v>
      </c>
      <c r="R19" s="714" t="s">
        <v>17</v>
      </c>
      <c r="S19" s="715">
        <f>F19</f>
        <v>100</v>
      </c>
      <c r="T19" s="714" t="s">
        <v>17</v>
      </c>
      <c r="U19" s="715">
        <f>H19</f>
        <v>100</v>
      </c>
      <c r="V19" s="714" t="s">
        <v>17</v>
      </c>
      <c r="W19" s="715">
        <f>J19</f>
        <v>100</v>
      </c>
      <c r="X19" s="1541"/>
      <c r="Y19" s="326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68"/>
      <c r="Q20" s="1538"/>
      <c r="R20" s="714"/>
      <c r="S20" s="715"/>
      <c r="T20" s="714"/>
      <c r="U20" s="715"/>
      <c r="V20" s="714"/>
      <c r="W20" s="715"/>
      <c r="X20" s="1541"/>
      <c r="Y20" s="3268"/>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68"/>
      <c r="Q21" s="1538" t="str">
        <f>B21</f>
        <v>基础设施水平</v>
      </c>
      <c r="R21" s="714" t="s">
        <v>17</v>
      </c>
      <c r="S21" s="715">
        <f>F21</f>
        <v>100</v>
      </c>
      <c r="T21" s="714" t="s">
        <v>17</v>
      </c>
      <c r="U21" s="715">
        <f>H21</f>
        <v>100</v>
      </c>
      <c r="V21" s="714" t="s">
        <v>17</v>
      </c>
      <c r="W21" s="715">
        <f>J21</f>
        <v>100</v>
      </c>
      <c r="X21" s="1541"/>
      <c r="Y21" s="326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68"/>
      <c r="Q22" s="1538"/>
      <c r="R22" s="714"/>
      <c r="S22" s="715"/>
      <c r="T22" s="714"/>
      <c r="U22" s="715"/>
      <c r="V22" s="714"/>
      <c r="W22" s="715"/>
      <c r="X22" s="1541"/>
      <c r="Y22" s="3268"/>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68"/>
      <c r="Q23" s="1538" t="str">
        <f>B23</f>
        <v>环境质量</v>
      </c>
      <c r="R23" s="714" t="s">
        <v>17</v>
      </c>
      <c r="S23" s="715">
        <f>F23</f>
        <v>100</v>
      </c>
      <c r="T23" s="714" t="s">
        <v>17</v>
      </c>
      <c r="U23" s="715">
        <f>H23</f>
        <v>100</v>
      </c>
      <c r="V23" s="714" t="s">
        <v>17</v>
      </c>
      <c r="W23" s="715">
        <f>J23</f>
        <v>100</v>
      </c>
      <c r="X23" s="1541"/>
      <c r="Y23" s="326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68"/>
      <c r="Q24" s="1538"/>
      <c r="R24" s="714"/>
      <c r="S24" s="715"/>
      <c r="T24" s="714"/>
      <c r="U24" s="715"/>
      <c r="V24" s="714"/>
      <c r="W24" s="715"/>
      <c r="X24" s="1541"/>
      <c r="Y24" s="326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68"/>
      <c r="Q25" s="1538">
        <f>B25</f>
        <v>111</v>
      </c>
      <c r="R25" s="714" t="s">
        <v>17</v>
      </c>
      <c r="S25" s="715">
        <f>F25</f>
        <v>100</v>
      </c>
      <c r="T25" s="714" t="s">
        <v>17</v>
      </c>
      <c r="U25" s="715">
        <f>H25</f>
        <v>100</v>
      </c>
      <c r="V25" s="714" t="s">
        <v>17</v>
      </c>
      <c r="W25" s="715">
        <f>J25</f>
        <v>100</v>
      </c>
      <c r="X25" s="1541"/>
      <c r="Y25" s="326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68"/>
      <c r="Q26" s="1538">
        <f t="shared" ref="Q26:Q40" si="11">B26</f>
        <v>111</v>
      </c>
      <c r="R26" s="714" t="s">
        <v>17</v>
      </c>
      <c r="S26" s="715">
        <f>F26</f>
        <v>100</v>
      </c>
      <c r="T26" s="714" t="s">
        <v>17</v>
      </c>
      <c r="U26" s="715">
        <f>H26</f>
        <v>100</v>
      </c>
      <c r="V26" s="714" t="s">
        <v>17</v>
      </c>
      <c r="W26" s="715">
        <f>J26</f>
        <v>100</v>
      </c>
      <c r="X26" s="1541"/>
      <c r="Y26" s="326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68"/>
      <c r="Q27" s="1529">
        <f t="shared" si="11"/>
        <v>111</v>
      </c>
      <c r="R27" s="710" t="s">
        <v>17</v>
      </c>
      <c r="S27" s="711">
        <f>F27</f>
        <v>100</v>
      </c>
      <c r="T27" s="710" t="s">
        <v>17</v>
      </c>
      <c r="U27" s="711">
        <f>H27</f>
        <v>100</v>
      </c>
      <c r="V27" s="710" t="s">
        <v>17</v>
      </c>
      <c r="W27" s="711">
        <f>J27</f>
        <v>100</v>
      </c>
      <c r="X27" s="712"/>
      <c r="Y27" s="326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68"/>
      <c r="Q28" s="1538">
        <f t="shared" si="11"/>
        <v>111</v>
      </c>
      <c r="R28" s="714" t="s">
        <v>17</v>
      </c>
      <c r="S28" s="715">
        <f t="shared" ref="S28:S40" si="12">F28</f>
        <v>100</v>
      </c>
      <c r="T28" s="714" t="s">
        <v>17</v>
      </c>
      <c r="U28" s="715">
        <f t="shared" ref="U28:U40" si="13">H28</f>
        <v>100</v>
      </c>
      <c r="V28" s="714" t="s">
        <v>17</v>
      </c>
      <c r="W28" s="715">
        <f t="shared" ref="W28:W40" si="14">J28</f>
        <v>100</v>
      </c>
      <c r="X28" s="1541"/>
      <c r="Y28" s="3268"/>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3" t="s">
        <v>2386</v>
      </c>
      <c r="Q29" s="1538" t="str">
        <f t="shared" si="11"/>
        <v>建筑类型</v>
      </c>
      <c r="R29" s="714" t="s">
        <v>17</v>
      </c>
      <c r="S29" s="715">
        <f t="shared" si="12"/>
        <v>100</v>
      </c>
      <c r="T29" s="714" t="s">
        <v>17</v>
      </c>
      <c r="U29" s="715">
        <f t="shared" si="13"/>
        <v>100</v>
      </c>
      <c r="V29" s="714" t="s">
        <v>17</v>
      </c>
      <c r="W29" s="715">
        <f t="shared" si="14"/>
        <v>100</v>
      </c>
      <c r="X29" s="1541"/>
      <c r="Y29" s="3272"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2"/>
      <c r="Q30" s="716" t="str">
        <f t="shared" si="11"/>
        <v>项目建筑规模</v>
      </c>
      <c r="R30" s="717" t="s">
        <v>17</v>
      </c>
      <c r="S30" s="718" t="e">
        <f t="shared" si="12"/>
        <v>#N/A</v>
      </c>
      <c r="T30" s="717" t="s">
        <v>17</v>
      </c>
      <c r="U30" s="718" t="e">
        <f t="shared" si="13"/>
        <v>#N/A</v>
      </c>
      <c r="V30" s="717" t="s">
        <v>17</v>
      </c>
      <c r="W30" s="718" t="e">
        <f t="shared" si="14"/>
        <v>#N/A</v>
      </c>
      <c r="X30" s="719"/>
      <c r="Y30" s="3272"/>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2"/>
      <c r="Q31" s="1538" t="str">
        <f t="shared" si="11"/>
        <v>建筑结构</v>
      </c>
      <c r="R31" s="714" t="s">
        <v>17</v>
      </c>
      <c r="S31" s="715">
        <f t="shared" si="12"/>
        <v>100</v>
      </c>
      <c r="T31" s="714" t="s">
        <v>17</v>
      </c>
      <c r="U31" s="715">
        <f t="shared" si="13"/>
        <v>100</v>
      </c>
      <c r="V31" s="714" t="s">
        <v>17</v>
      </c>
      <c r="W31" s="715">
        <f t="shared" si="14"/>
        <v>100</v>
      </c>
      <c r="X31" s="1541"/>
      <c r="Y31" s="3272"/>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2"/>
      <c r="Q32" s="1538" t="str">
        <f t="shared" si="11"/>
        <v>公共部分装修</v>
      </c>
      <c r="R32" s="714" t="s">
        <v>17</v>
      </c>
      <c r="S32" s="715">
        <f t="shared" si="12"/>
        <v>100</v>
      </c>
      <c r="T32" s="714" t="s">
        <v>17</v>
      </c>
      <c r="U32" s="715">
        <f t="shared" si="13"/>
        <v>100</v>
      </c>
      <c r="V32" s="714" t="s">
        <v>17</v>
      </c>
      <c r="W32" s="715">
        <f t="shared" si="14"/>
        <v>100</v>
      </c>
      <c r="X32" s="1541"/>
      <c r="Y32" s="3272"/>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2"/>
      <c r="Q33" s="1538" t="str">
        <f t="shared" si="11"/>
        <v>成新度</v>
      </c>
      <c r="R33" s="714" t="s">
        <v>17</v>
      </c>
      <c r="S33" s="715" t="e">
        <f t="shared" si="12"/>
        <v>#N/A</v>
      </c>
      <c r="T33" s="714" t="s">
        <v>17</v>
      </c>
      <c r="U33" s="715" t="e">
        <f t="shared" si="13"/>
        <v>#N/A</v>
      </c>
      <c r="V33" s="714" t="s">
        <v>17</v>
      </c>
      <c r="W33" s="715" t="e">
        <f t="shared" si="14"/>
        <v>#N/A</v>
      </c>
      <c r="X33" s="1541"/>
      <c r="Y33" s="3272"/>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2"/>
      <c r="Q34" s="1529" t="str">
        <f t="shared" si="11"/>
        <v>物业管理</v>
      </c>
      <c r="R34" s="710" t="s">
        <v>17</v>
      </c>
      <c r="S34" s="711">
        <f t="shared" si="12"/>
        <v>100</v>
      </c>
      <c r="T34" s="710" t="s">
        <v>17</v>
      </c>
      <c r="U34" s="711">
        <f t="shared" si="13"/>
        <v>100</v>
      </c>
      <c r="V34" s="710" t="s">
        <v>17</v>
      </c>
      <c r="W34" s="711">
        <f t="shared" si="14"/>
        <v>100</v>
      </c>
      <c r="X34" s="712"/>
      <c r="Y34" s="327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2" t="s">
        <v>2386</v>
      </c>
      <c r="Q35" s="1538" t="str">
        <f t="shared" si="11"/>
        <v>市政基础设施</v>
      </c>
      <c r="R35" s="714" t="s">
        <v>17</v>
      </c>
      <c r="S35" s="715">
        <f t="shared" si="12"/>
        <v>100</v>
      </c>
      <c r="T35" s="714" t="s">
        <v>17</v>
      </c>
      <c r="U35" s="715">
        <f t="shared" si="13"/>
        <v>100</v>
      </c>
      <c r="V35" s="714" t="s">
        <v>17</v>
      </c>
      <c r="W35" s="715">
        <f t="shared" si="14"/>
        <v>100</v>
      </c>
      <c r="X35" s="1541"/>
      <c r="Y35" s="3272"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2"/>
      <c r="Q36" s="1538" t="str">
        <f t="shared" si="11"/>
        <v>内部装修</v>
      </c>
      <c r="R36" s="714" t="s">
        <v>17</v>
      </c>
      <c r="S36" s="715">
        <f t="shared" si="12"/>
        <v>100</v>
      </c>
      <c r="T36" s="714" t="s">
        <v>17</v>
      </c>
      <c r="U36" s="715">
        <f t="shared" si="13"/>
        <v>100</v>
      </c>
      <c r="V36" s="714" t="s">
        <v>17</v>
      </c>
      <c r="W36" s="715">
        <f t="shared" si="14"/>
        <v>100</v>
      </c>
      <c r="X36" s="1541"/>
      <c r="Y36" s="3272"/>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2"/>
      <c r="Q37" s="1538" t="str">
        <f t="shared" si="11"/>
        <v>内部装修状况</v>
      </c>
      <c r="R37" s="714" t="s">
        <v>17</v>
      </c>
      <c r="S37" s="715">
        <f t="shared" si="12"/>
        <v>100</v>
      </c>
      <c r="T37" s="714" t="s">
        <v>17</v>
      </c>
      <c r="U37" s="715">
        <f t="shared" si="13"/>
        <v>100</v>
      </c>
      <c r="V37" s="714" t="s">
        <v>17</v>
      </c>
      <c r="W37" s="715">
        <f t="shared" si="14"/>
        <v>100</v>
      </c>
      <c r="X37" s="1541"/>
      <c r="Y37" s="3272"/>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2"/>
      <c r="Q38" s="716">
        <f t="shared" si="11"/>
        <v>111</v>
      </c>
      <c r="R38" s="717" t="s">
        <v>17</v>
      </c>
      <c r="S38" s="718">
        <f t="shared" si="12"/>
        <v>100</v>
      </c>
      <c r="T38" s="717" t="s">
        <v>17</v>
      </c>
      <c r="U38" s="718">
        <f t="shared" si="13"/>
        <v>100</v>
      </c>
      <c r="V38" s="717" t="s">
        <v>17</v>
      </c>
      <c r="W38" s="718">
        <f t="shared" si="14"/>
        <v>100</v>
      </c>
      <c r="X38" s="719"/>
      <c r="Y38" s="3272"/>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2"/>
      <c r="Q39" s="1538">
        <f t="shared" si="11"/>
        <v>111</v>
      </c>
      <c r="R39" s="714" t="s">
        <v>17</v>
      </c>
      <c r="S39" s="715">
        <f t="shared" si="12"/>
        <v>100</v>
      </c>
      <c r="T39" s="714" t="s">
        <v>17</v>
      </c>
      <c r="U39" s="715">
        <f t="shared" si="13"/>
        <v>100</v>
      </c>
      <c r="V39" s="714" t="s">
        <v>17</v>
      </c>
      <c r="W39" s="715">
        <f t="shared" si="14"/>
        <v>100</v>
      </c>
      <c r="X39" s="1541"/>
      <c r="Y39" s="3272"/>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3"/>
      <c r="Q40" s="1538">
        <f t="shared" si="11"/>
        <v>111</v>
      </c>
      <c r="R40" s="714" t="s">
        <v>17</v>
      </c>
      <c r="S40" s="715">
        <f t="shared" si="12"/>
        <v>100</v>
      </c>
      <c r="T40" s="714" t="s">
        <v>17</v>
      </c>
      <c r="U40" s="715">
        <f t="shared" si="13"/>
        <v>100</v>
      </c>
      <c r="V40" s="714" t="s">
        <v>17</v>
      </c>
      <c r="W40" s="715">
        <f t="shared" si="14"/>
        <v>100</v>
      </c>
      <c r="X40" s="1541"/>
      <c r="Y40" s="3273"/>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265" t="str">
        <f>A41</f>
        <v>成交单价（元/平方米）</v>
      </c>
      <c r="Q41" s="3265"/>
      <c r="R41" s="3266">
        <f>E41</f>
        <v>0</v>
      </c>
      <c r="S41" s="3266"/>
      <c r="T41" s="3266">
        <f>G41</f>
        <v>0</v>
      </c>
      <c r="U41" s="3266"/>
      <c r="V41" s="3266">
        <f>I41</f>
        <v>0</v>
      </c>
      <c r="W41" s="3266"/>
      <c r="X41" s="699"/>
      <c r="Y41" s="721"/>
      <c r="Z41" s="699"/>
      <c r="AA41" s="699"/>
      <c r="AB41" s="699"/>
      <c r="AC41" s="699"/>
    </row>
    <row r="42" spans="1:29" ht="15.75" thickBot="1">
      <c r="A42" s="445" t="s">
        <v>2490</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2" t="str">
        <f>A43</f>
        <v>估价对象XX用房的比较价值（楼面单价，元/平方米）</v>
      </c>
      <c r="Q43" s="3263"/>
      <c r="R43" s="3264" t="e">
        <f>IF(F1="售价",ROUND(IF(D42="简单平均",AVERAGE(R42:V42),R42*F42+T42*H42+V42*J42),0),ROUND(IF(D42="简单平均",AVERAGE(R42:V42),R42*F42+T42*H42+V42*J42),1))</f>
        <v>#DIV/0!</v>
      </c>
      <c r="S43" s="3264"/>
      <c r="T43" s="3264"/>
      <c r="U43" s="3264"/>
      <c r="V43" s="3264"/>
      <c r="W43" s="326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0" zoomScale="90" zoomScaleNormal="70" zoomScaleSheetLayoutView="9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#VALUE!</v>
      </c>
      <c r="C2" s="1573" t="s">
        <v>1556</v>
      </c>
      <c r="D2" s="1657" t="e">
        <f ca="1">C40+J29+L46</f>
        <v>#VALUE!</v>
      </c>
      <c r="E2" s="1574" t="s">
        <v>1557</v>
      </c>
      <c r="F2" s="1575"/>
      <c r="G2" s="2934"/>
      <c r="H2" s="2923"/>
      <c r="I2" s="2923"/>
      <c r="J2" s="2923"/>
      <c r="K2" s="2924"/>
      <c r="L2" s="2923"/>
      <c r="M2" s="2923"/>
    </row>
    <row r="3" spans="1:37" ht="18" customHeight="1" thickBot="1">
      <c r="A3" s="1576" t="s">
        <v>1558</v>
      </c>
      <c r="B3" s="1577">
        <f ca="1">IF(ISERROR(D2/F43),0,ROUND(D2/F43,0))</f>
        <v>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36" t="s">
        <v>1368</v>
      </c>
      <c r="C6" s="1206">
        <f ca="1">ROUND(F6*F8*F7*(1-F9),0)</f>
        <v>0</v>
      </c>
      <c r="D6" s="160" t="s">
        <v>2848</v>
      </c>
      <c r="E6" s="308" t="s">
        <v>1370</v>
      </c>
      <c r="F6" s="309">
        <f ca="1">INDIRECT("'数据-取费表'!u"&amp;$G$1)</f>
        <v>0</v>
      </c>
      <c r="G6" s="1570"/>
      <c r="H6" s="1201" t="s">
        <v>1003</v>
      </c>
      <c r="I6" s="3236" t="s">
        <v>1368</v>
      </c>
      <c r="J6" s="307">
        <f ca="1">ROUND(M6*M8*M7*(1-M9),0)</f>
        <v>0</v>
      </c>
      <c r="K6" s="1562" t="s">
        <v>2849</v>
      </c>
      <c r="L6" s="308" t="s">
        <v>1370</v>
      </c>
      <c r="M6" s="309">
        <f ca="1">INDIRECT("'数据-取费表'!z"&amp;$G$1)</f>
        <v>0</v>
      </c>
    </row>
    <row r="7" spans="1:37" ht="18" customHeight="1">
      <c r="A7" s="1205"/>
      <c r="B7" s="3237"/>
      <c r="C7" s="1207"/>
      <c r="D7" s="313"/>
      <c r="E7" s="1208" t="s">
        <v>1371</v>
      </c>
      <c r="F7" s="309">
        <f ca="1">IF(INDIRECT("'数据-取费表'!ah"&amp;$G$1)="",INDIRECT("'数据-取费表'!k"&amp;$G$1),INDIRECT("'数据-取费表'!ah"&amp;$G$1))</f>
        <v>0</v>
      </c>
      <c r="G7" s="1570"/>
      <c r="H7" s="310"/>
      <c r="I7" s="3237"/>
      <c r="J7" s="312"/>
      <c r="K7" s="313"/>
      <c r="L7" s="308" t="s">
        <v>1371</v>
      </c>
      <c r="M7" s="309">
        <f ca="1">F7</f>
        <v>0</v>
      </c>
    </row>
    <row r="8" spans="1:37" ht="18" customHeight="1">
      <c r="A8" s="310"/>
      <c r="B8" s="3237"/>
      <c r="C8" s="312"/>
      <c r="D8" s="313"/>
      <c r="E8" s="308" t="s">
        <v>1372</v>
      </c>
      <c r="F8" s="309">
        <f ca="1">INDIRECT("'数据-取费表'!ai"&amp;$G$1)</f>
        <v>0</v>
      </c>
      <c r="G8" s="1570"/>
      <c r="H8" s="310"/>
      <c r="I8" s="3237"/>
      <c r="J8" s="312"/>
      <c r="K8" s="313"/>
      <c r="L8" s="308" t="s">
        <v>1372</v>
      </c>
      <c r="M8" s="309">
        <f ca="1">INDIRECT("'数据-取费表'!ai"&amp;$G$1)</f>
        <v>0</v>
      </c>
    </row>
    <row r="9" spans="1:37" ht="18" customHeight="1">
      <c r="A9" s="310"/>
      <c r="B9" s="3238"/>
      <c r="C9" s="312"/>
      <c r="D9" s="313"/>
      <c r="E9" s="308" t="s">
        <v>1373</v>
      </c>
      <c r="F9" s="318">
        <f ca="1">INDIRECT("'数据-取费表'!w"&amp;$G$1)</f>
        <v>0</v>
      </c>
      <c r="G9" s="1570"/>
      <c r="H9" s="310"/>
      <c r="I9" s="323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#VALUE!</v>
      </c>
      <c r="D13" s="1241" t="s">
        <v>1380</v>
      </c>
      <c r="E13" s="1241" t="s">
        <v>1381</v>
      </c>
      <c r="F13" s="1242">
        <f ca="1">INDIRECT("'数据-取费表'!y"&amp;$G$1)</f>
        <v>0</v>
      </c>
      <c r="G13" s="1570"/>
      <c r="H13" s="1239">
        <v>2</v>
      </c>
      <c r="I13" s="1240" t="s">
        <v>1379</v>
      </c>
      <c r="J13" s="1200" t="e">
        <f ca="1">ROUND(J14*J15,0)</f>
        <v>#VALUE!</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t="e">
        <f ca="1">C29</f>
        <v>#VALUE!</v>
      </c>
      <c r="K14" s="15"/>
      <c r="L14" s="916"/>
      <c r="M14" s="917"/>
    </row>
    <row r="15" spans="1:37" s="1583" customFormat="1" ht="18" customHeight="1" thickBot="1">
      <c r="A15" s="1113" t="s">
        <v>1004</v>
      </c>
      <c r="B15" s="308" t="s">
        <v>1385</v>
      </c>
      <c r="C15" s="24">
        <f ca="1">ROUND(C14*F15,0)</f>
        <v>0</v>
      </c>
      <c r="D15" s="326" t="s">
        <v>1386</v>
      </c>
      <c r="E15" s="326" t="s">
        <v>1387</v>
      </c>
      <c r="F15" s="327">
        <f>'数据-取费表'!B33</f>
        <v>0</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t="e">
        <f ca="1">ROUND(J17+J22+J23+J24,0)</f>
        <v>#VALUE!</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0</v>
      </c>
      <c r="G17" s="1582"/>
      <c r="H17" s="1113" t="s">
        <v>1003</v>
      </c>
      <c r="I17" s="308" t="s">
        <v>1394</v>
      </c>
      <c r="J17" s="2536" t="e">
        <f ca="1">ROUND(IF(AND(项目基本情况!B11="自然人",项目基本情况!B10="北京市"),J6*M17/(1+'数据-取费表'!C42),J18+J19+J20),0)</f>
        <v>#VALUE!</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0</v>
      </c>
      <c r="G18" s="1582"/>
      <c r="H18" s="1113" t="s">
        <v>1002</v>
      </c>
      <c r="I18" s="308" t="s">
        <v>1398</v>
      </c>
      <c r="J18" s="24">
        <f ca="1">ROUND(J6*M18/(1+'数据-取费表'!C42),0)</f>
        <v>0</v>
      </c>
      <c r="K18" s="1530" t="s">
        <v>1399</v>
      </c>
      <c r="L18" s="308" t="s">
        <v>1387</v>
      </c>
      <c r="M18" s="328">
        <f>'数据-取费表'!B41</f>
        <v>0</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t="e">
        <f ca="1">IF(K19="按租金收入计税",ROUND(J6*M19/(1+'数据-取费表'!C42),0),ROUND(C29*M19*0.7,0))</f>
        <v>#VALUE!</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t="e">
        <f ca="1">ROUND(J14*M22,0)</f>
        <v>#VALUE!</v>
      </c>
      <c r="K22" s="1530" t="s">
        <v>1415</v>
      </c>
      <c r="L22" s="308" t="s">
        <v>1387</v>
      </c>
      <c r="M22" s="334">
        <f ca="1">INDIRECT("'数据-取费表'!Ak"&amp;$G$1)</f>
        <v>0</v>
      </c>
    </row>
    <row r="23" spans="1:37" s="1583" customFormat="1" ht="18" customHeight="1">
      <c r="A23" s="1113" t="s">
        <v>1002</v>
      </c>
      <c r="B23" s="308" t="s">
        <v>1416</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1417</v>
      </c>
      <c r="F23" s="331">
        <f>'数据-取费表'!B20</f>
        <v>0</v>
      </c>
      <c r="G23" s="1582"/>
      <c r="H23" s="1113" t="s">
        <v>1043</v>
      </c>
      <c r="I23" s="308" t="s">
        <v>1418</v>
      </c>
      <c r="J23" s="24" t="e">
        <f ca="1">ROUND(J13*M23,0)</f>
        <v>#VALUE!</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t="e">
        <f ca="1">ROUND(IF('数据-取费表'!B22&lt;=1,F21*F24*F23/2,F21*(POWER((1+F24),F23/2)-1)),4)</f>
        <v>#VALUE!</v>
      </c>
      <c r="D24" s="335" t="str">
        <f>IF(F23&lt;=1,"销售费用×利率×(建设周期÷2)","销售费用×((1+利率)^(建设周期÷2)-1)")</f>
        <v>销售费用×利率×(建设周期÷2)</v>
      </c>
      <c r="E24" s="308" t="s">
        <v>1423</v>
      </c>
      <c r="F24" s="337" t="e">
        <f ca="1">'数据-取费表'!B40</f>
        <v>#VALUE!</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t="e">
        <f ca="1">J5-J16</f>
        <v>#VALUE!</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0</v>
      </c>
      <c r="D28" s="329" t="s">
        <v>1441</v>
      </c>
      <c r="E28" s="308" t="s">
        <v>1387</v>
      </c>
      <c r="F28" s="328">
        <f>'数据-取费表'!B41</f>
        <v>0</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#VALUE!</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#VALUE!</v>
      </c>
      <c r="D30" s="1247" t="s">
        <v>1390</v>
      </c>
      <c r="E30" s="1248"/>
      <c r="F30" s="1204"/>
      <c r="G30" s="1570"/>
      <c r="H30" s="2925"/>
      <c r="I30" s="1584"/>
      <c r="J30" s="1585"/>
      <c r="K30" s="2700"/>
      <c r="L30" s="2926"/>
      <c r="M30" s="2927"/>
    </row>
    <row r="31" spans="1:37" ht="18" customHeight="1">
      <c r="A31" s="1113" t="s">
        <v>1003</v>
      </c>
      <c r="B31" s="308" t="s">
        <v>1394</v>
      </c>
      <c r="C31" s="2536" t="e">
        <f ca="1">ROUND(IF(AND(项目基本情况!B11="自然人",项目基本情况!B10="北京市"),C6*F31/(1+'数据-取费表'!C42),C32+C33+C34),0)</f>
        <v>#VALUE!</v>
      </c>
      <c r="D31" s="1531" t="s">
        <v>1395</v>
      </c>
      <c r="E31" s="1530" t="s">
        <v>1446</v>
      </c>
      <c r="F31" s="2535" t="str">
        <f>IF(项目基本情况!B11="企业","——",IF('数据-取费表'!B10="住宅",IF(F6*F7*F8/12/(1+'数据-取费表'!F30)&gt;100000,4%,2.5%),IF(F6*F7*F8/12/(1+'数据-取费表'!F30)&gt;100000,12%,7%)))</f>
        <v>——</v>
      </c>
      <c r="G31" s="1570"/>
      <c r="H31" s="3038" t="s">
        <v>3056</v>
      </c>
      <c r="I31" s="1584"/>
      <c r="J31" s="1585"/>
      <c r="K31" s="2700"/>
      <c r="L31" s="2926"/>
      <c r="M31" s="2927"/>
    </row>
    <row r="32" spans="1:37" ht="18" customHeight="1">
      <c r="A32" s="1113" t="s">
        <v>1002</v>
      </c>
      <c r="B32" s="308" t="s">
        <v>1398</v>
      </c>
      <c r="C32" s="24">
        <f ca="1">IF(项目基本情况!B11="自然人","——",ROUND(C6*F32/(1+'数据-取费表'!C42),0))</f>
        <v>0</v>
      </c>
      <c r="D32" s="1530" t="s">
        <v>1399</v>
      </c>
      <c r="E32" s="308" t="s">
        <v>1387</v>
      </c>
      <c r="F32" s="337">
        <f>'数据-取费表'!B41</f>
        <v>0</v>
      </c>
      <c r="G32" s="1570"/>
      <c r="H32" s="2925"/>
      <c r="I32" s="1584"/>
      <c r="J32" s="1585"/>
      <c r="K32" s="2700"/>
      <c r="L32" s="2926"/>
      <c r="M32" s="2927"/>
    </row>
    <row r="33" spans="1:18" ht="18" customHeight="1">
      <c r="A33" s="1113" t="s">
        <v>1004</v>
      </c>
      <c r="B33" s="308" t="s">
        <v>1402</v>
      </c>
      <c r="C33" s="24" t="e">
        <f ca="1">IF(项目基本情况!B11="自然人","——",IF(D33="按租金收入计税",ROUND(C6*F33/(1+'数据-取费表'!C42),0),IF(D33="按房产原值计税",ROUND(C29*F33*0.7,0),INDIRECT("'数据-取费表'!Aj"&amp;$G$1))))</f>
        <v>#VALUE!</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f ca="1">IF(项目基本情况!B11="自然人","——",ROUND(F34*F35,))</f>
        <v>0</v>
      </c>
      <c r="D34" s="330" t="s">
        <v>1407</v>
      </c>
      <c r="E34" s="308" t="s">
        <v>1408</v>
      </c>
      <c r="F34" s="331">
        <f>'数据-取费表'!B52</f>
        <v>0</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t="e">
        <f ca="1">ROUND(C29*F36,0)</f>
        <v>#VALUE!</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t="e">
        <f ca="1">ROUND(C13*F37,0)</f>
        <v>#VALUE!</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t="e">
        <f ca="1">C5-C30</f>
        <v>#VALUE!</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#VALUE!</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ROUND(C40/F43,0)</f>
        <v>#VALUE!</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#VALUE!</v>
      </c>
      <c r="D45" s="1659" t="s">
        <v>1569</v>
      </c>
      <c r="E45" s="1586"/>
      <c r="F45" s="1586"/>
      <c r="O45" s="1589" t="s">
        <v>1484</v>
      </c>
      <c r="P45" s="1647"/>
      <c r="Q45" s="1647"/>
      <c r="R45" s="1647"/>
    </row>
    <row r="46" spans="1:18" s="1570" customFormat="1" ht="13.5" thickBot="1">
      <c r="A46" s="1590" t="s">
        <v>1485</v>
      </c>
      <c r="C46" s="1591" t="e">
        <f ca="1">ROUND(C45/10000,0)</f>
        <v>#VALUE!</v>
      </c>
      <c r="D46" s="1592" t="str">
        <f>C2</f>
        <v>万元</v>
      </c>
      <c r="I46" s="1593" t="s">
        <v>1486</v>
      </c>
      <c r="J46" s="1594"/>
      <c r="K46" s="1595"/>
      <c r="L46" s="1596" t="e">
        <f ca="1">IF(M47="住宅",0,IF(L48&gt;J51,L60,J60))</f>
        <v>#VALUE!</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#VALUE!</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#VALUE!</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t="e">
        <f ca="1">C29</f>
        <v>#VALUE!</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t="e">
        <f ca="1">ROUND(-PV(INDIRECT("'数据-取费表'!h"&amp;$G$1),J51,(C39-C13*C76),0),0)</f>
        <v>#VALUE!</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0</v>
      </c>
      <c r="K53" s="3234" t="s">
        <v>1513</v>
      </c>
      <c r="L53" s="3235"/>
      <c r="O53" s="1604" t="s">
        <v>1014</v>
      </c>
      <c r="P53" s="1605" t="s">
        <v>1514</v>
      </c>
      <c r="Q53" s="1606" t="e">
        <f ca="1">Q47+Q48</f>
        <v>#VALUE!</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t="e">
        <f ca="1">C13</f>
        <v>#VALUE!</v>
      </c>
      <c r="D56" s="1633"/>
      <c r="E56" s="1634"/>
      <c r="F56" s="1626"/>
      <c r="I56" s="1635" t="s">
        <v>1519</v>
      </c>
      <c r="J56" s="1636"/>
      <c r="K56" s="1607" t="s">
        <v>1520</v>
      </c>
      <c r="L56" s="1610">
        <f ca="1">IF(L48&lt;J51,"——",L48-J51)</f>
        <v>0</v>
      </c>
      <c r="O56" s="1604" t="s">
        <v>1008</v>
      </c>
      <c r="P56" s="1605" t="s">
        <v>1493</v>
      </c>
      <c r="Q56" s="1606" t="e">
        <f ca="1">C40+J29</f>
        <v>#VALUE!</v>
      </c>
      <c r="R56" s="1606" t="s">
        <v>1494</v>
      </c>
    </row>
    <row r="57" spans="1:18" s="1570" customFormat="1" ht="24.75" thickBot="1">
      <c r="A57" s="1637"/>
      <c r="B57" s="1081" t="s">
        <v>1443</v>
      </c>
      <c r="C57" s="244" t="e">
        <f ca="1">C29</f>
        <v>#VALUE!</v>
      </c>
      <c r="D57" s="1638"/>
      <c r="E57" s="1639"/>
      <c r="F57" s="1640"/>
      <c r="I57" s="1641" t="s">
        <v>1521</v>
      </c>
      <c r="J57" s="1642">
        <f ca="1">IF(OR(M47="住宅",J51&lt;L48,J56="是"),"——",J51-L48)</f>
        <v>0</v>
      </c>
      <c r="K57" s="1607" t="s">
        <v>1570</v>
      </c>
      <c r="L57" s="1610" t="e">
        <f ca="1">IF(L48&lt;J51,"——",IF(L55="比较法",L49,IF(L55="基准地价",L50,L51)))</f>
        <v>#VALUE!</v>
      </c>
      <c r="O57" s="1604" t="s">
        <v>1009</v>
      </c>
      <c r="P57" s="1605" t="s">
        <v>1571</v>
      </c>
      <c r="Q57" s="1606" t="e">
        <f ca="1">L60</f>
        <v>#VALUE!</v>
      </c>
      <c r="R57" s="1606" t="s">
        <v>1572</v>
      </c>
    </row>
    <row r="58" spans="1:18" s="1570" customFormat="1" ht="24.75" thickBot="1">
      <c r="A58" s="321" t="s">
        <v>998</v>
      </c>
      <c r="B58" s="1089" t="s">
        <v>1389</v>
      </c>
      <c r="C58" s="322" t="e">
        <f ca="1">ROUND(C59+C64+C65+C66,0)</f>
        <v>#VALUE!</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t="e">
        <f ca="1">ROUND(IF(AND(项目基本情况!B11="自然人",项目基本情况!B10="北京市"),C49*F59/(1+'数据-取费表'!C42),C60+C61+C62),0)</f>
        <v>#VALUE!</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#VALUE!</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0</v>
      </c>
      <c r="I60" s="1644" t="s">
        <v>1530</v>
      </c>
      <c r="J60" s="1645" t="e">
        <f ca="1">IF(OR(M47="住宅",J51&lt;L48,J56="是"),"0",ROUND(J59/(1+J52)^J53,0))</f>
        <v>#VALUE!</v>
      </c>
      <c r="K60" s="1646" t="s">
        <v>1531</v>
      </c>
      <c r="L60" s="1645" t="e">
        <f ca="1">IF(OR(M47="住宅",L48&lt;J51),0,ROUND(L57*(L58/L59-1),0))</f>
        <v>#VALUE!</v>
      </c>
      <c r="O60" s="1614" t="s">
        <v>1012</v>
      </c>
      <c r="P60" s="1605" t="s">
        <v>1532</v>
      </c>
      <c r="Q60" s="1606" t="e">
        <f ca="1">L58</f>
        <v>#DIV/0!</v>
      </c>
      <c r="R60" s="1606" t="s">
        <v>1533</v>
      </c>
    </row>
    <row r="61" spans="1:18" s="1570" customFormat="1" ht="13.5" thickBot="1">
      <c r="A61" s="1113" t="s">
        <v>1457</v>
      </c>
      <c r="B61" s="1081" t="s">
        <v>1458</v>
      </c>
      <c r="C61" s="24" t="e">
        <f ca="1">IF(项目基本情况!B11="自然人","——",IF(D61="按租金收入计税",ROUND(C48*F61,0),IF(D61="按房产原值计税",ROUND(C57*F61*0.7,0),INDIRECT("'数据-取费表'!Aj"&amp;$G$1))))</f>
        <v>#VALUE!</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#VALUE!</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ROUND(C57*F64,0)</f>
        <v>#VALUE!</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ROUND(C56*F65,0)</f>
        <v>#VALUE!</v>
      </c>
      <c r="D65" s="1095" t="s">
        <v>1419</v>
      </c>
      <c r="E65" s="1081" t="s">
        <v>1420</v>
      </c>
      <c r="F65" s="336">
        <f t="shared" ca="1" si="0"/>
        <v>0</v>
      </c>
      <c r="I65" s="1648" t="s">
        <v>1544</v>
      </c>
      <c r="J65" s="1649">
        <v>40</v>
      </c>
      <c r="K65" s="1649">
        <v>30</v>
      </c>
      <c r="L65" s="1649">
        <v>50</v>
      </c>
      <c r="M65" s="1651">
        <v>0.02</v>
      </c>
      <c r="O65" s="1604" t="s">
        <v>1008</v>
      </c>
      <c r="P65" s="1605" t="s">
        <v>1545</v>
      </c>
      <c r="Q65" s="1606" t="e">
        <f ca="1">C40+J29</f>
        <v>#VALUE!</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#VALUE!</v>
      </c>
      <c r="R66" s="1606" t="s">
        <v>1546</v>
      </c>
    </row>
    <row r="67" spans="1:18" s="1570" customFormat="1" ht="16.5" thickBot="1">
      <c r="A67" s="1088" t="s">
        <v>999</v>
      </c>
      <c r="B67" s="1098" t="s">
        <v>1428</v>
      </c>
      <c r="C67" s="322" t="e">
        <f ca="1">C48-C58</f>
        <v>#VALUE!</v>
      </c>
      <c r="D67" s="1094" t="s">
        <v>1429</v>
      </c>
      <c r="E67" s="1099"/>
      <c r="F67" s="1100"/>
      <c r="O67" s="1614" t="s">
        <v>1010</v>
      </c>
      <c r="P67" s="1605" t="s">
        <v>1527</v>
      </c>
      <c r="Q67" s="1652" t="e">
        <f ca="1">L51</f>
        <v>#VALUE!</v>
      </c>
      <c r="R67" s="1606" t="s">
        <v>1547</v>
      </c>
    </row>
    <row r="68" spans="1:18" s="1570" customFormat="1" ht="16.5" thickBot="1">
      <c r="A68" s="1078" t="s">
        <v>1000</v>
      </c>
      <c r="B68" s="1079" t="s">
        <v>1450</v>
      </c>
      <c r="C68" s="307" t="e">
        <f ca="1">ROUND(C67*(1-((1+F70)/(1+F68))^F69)/(F68-F70),0)</f>
        <v>#VALUE!</v>
      </c>
      <c r="D68" s="1096" t="s">
        <v>1434</v>
      </c>
      <c r="E68" s="1081" t="s">
        <v>1435</v>
      </c>
      <c r="F68" s="318">
        <f ca="1">F40</f>
        <v>0</v>
      </c>
      <c r="O68" s="1614" t="s">
        <v>1011</v>
      </c>
      <c r="P68" s="1653" t="s">
        <v>1548</v>
      </c>
      <c r="Q68" s="1606" t="e">
        <f ca="1">ROUND(Q69-Q70*Q71,0)</f>
        <v>#VALUE!</v>
      </c>
      <c r="R68" s="1606" t="s">
        <v>1019</v>
      </c>
    </row>
    <row r="69" spans="1:18" s="1570" customFormat="1" ht="13.5" thickBot="1">
      <c r="A69" s="1082"/>
      <c r="B69" s="1083"/>
      <c r="C69" s="312"/>
      <c r="D69" s="1101" t="s">
        <v>1438</v>
      </c>
      <c r="E69" s="1081" t="s">
        <v>1439</v>
      </c>
      <c r="F69" s="339">
        <f ca="1">F41</f>
        <v>0</v>
      </c>
      <c r="O69" s="1614" t="s">
        <v>1016</v>
      </c>
      <c r="P69" s="1653" t="s">
        <v>1549</v>
      </c>
      <c r="Q69" s="1606" t="e">
        <f ca="1">C39</f>
        <v>#VALUE!</v>
      </c>
      <c r="R69" s="1606" t="s">
        <v>1494</v>
      </c>
    </row>
    <row r="70" spans="1:18" s="1570" customFormat="1" ht="13.5" thickBot="1">
      <c r="A70" s="1085"/>
      <c r="B70" s="1086"/>
      <c r="C70" s="316"/>
      <c r="D70" s="1097"/>
      <c r="E70" s="1081" t="s">
        <v>1442</v>
      </c>
      <c r="F70" s="1185">
        <f ca="1">F42</f>
        <v>0</v>
      </c>
      <c r="O70" s="1614" t="s">
        <v>1017</v>
      </c>
      <c r="P70" s="1653" t="s">
        <v>1550</v>
      </c>
      <c r="Q70" s="1606" t="e">
        <f ca="1">C13</f>
        <v>#VALUE!</v>
      </c>
      <c r="R70" s="1606" t="s">
        <v>1494</v>
      </c>
    </row>
    <row r="71" spans="1:18" s="1570" customFormat="1" ht="13.5" thickBot="1">
      <c r="A71" s="1102" t="s">
        <v>1001</v>
      </c>
      <c r="B71" s="1103" t="s">
        <v>1452</v>
      </c>
      <c r="C71" s="342" t="e">
        <f ca="1">ROUND(C68/F71,0)</f>
        <v>#VALUE!</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t="e">
        <f ca="1">ROUND(C13*C76,0)</f>
        <v>#VALUE!</v>
      </c>
      <c r="D75" s="1570"/>
      <c r="E75" s="1570"/>
      <c r="F75" s="1570"/>
      <c r="K75" s="1588"/>
      <c r="L75" s="1570"/>
      <c r="O75" s="1604" t="s">
        <v>1014</v>
      </c>
      <c r="P75" s="1605" t="s">
        <v>1514</v>
      </c>
      <c r="Q75" s="1606" t="e">
        <f ca="1">Q65+Q66</f>
        <v>#VALUE!</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#VALUE!</v>
      </c>
    </row>
    <row r="80" spans="1:18">
      <c r="B80" s="346" t="s">
        <v>1476</v>
      </c>
      <c r="C80" s="280" t="e">
        <f ca="1">ROUND(C75/C39,3)</f>
        <v>#VALUE!</v>
      </c>
    </row>
    <row r="81" spans="2:3">
      <c r="B81" s="276" t="s">
        <v>1477</v>
      </c>
      <c r="C81" s="244"/>
    </row>
    <row r="82" spans="2:3">
      <c r="B82" s="279" t="s">
        <v>1478</v>
      </c>
      <c r="C82" s="281" t="e">
        <f ca="1">1-C83</f>
        <v>#VALUE!</v>
      </c>
    </row>
    <row r="83" spans="2:3">
      <c r="B83" s="279" t="s">
        <v>1479</v>
      </c>
      <c r="C83" s="280"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5"/>
      <c r="G1" s="1676"/>
      <c r="H1" s="1676"/>
      <c r="I1" s="1676"/>
      <c r="J1" s="1676"/>
      <c r="K1" s="1676"/>
      <c r="L1" s="1676"/>
      <c r="M1" s="1676"/>
      <c r="N1" s="1676"/>
      <c r="O1" s="1676"/>
      <c r="P1" s="1676"/>
      <c r="Q1" s="1676"/>
      <c r="R1" s="1676"/>
      <c r="S1" s="1676"/>
    </row>
    <row r="2" spans="1:22" ht="15.75">
      <c r="A2" s="2058" t="s">
        <v>2148</v>
      </c>
      <c r="B2" s="2059">
        <f ca="1">SUMIF(B6:B13,"&lt;&gt;#ref!",B6:B13)</f>
        <v>0</v>
      </c>
      <c r="C2" s="2060" t="s">
        <v>2340</v>
      </c>
      <c r="D2" s="2061" t="s">
        <v>2341</v>
      </c>
      <c r="E2" s="2832">
        <f>SUM(E6:E13)</f>
        <v>0</v>
      </c>
      <c r="F2" s="2935"/>
      <c r="G2" s="1676"/>
      <c r="H2" s="1676"/>
      <c r="I2" s="1676"/>
      <c r="J2" s="1676"/>
      <c r="K2" s="1676"/>
      <c r="L2" s="1676"/>
      <c r="M2" s="1676"/>
      <c r="N2" s="1676"/>
      <c r="O2" s="1676"/>
      <c r="P2" s="1676"/>
      <c r="Q2" s="1676"/>
      <c r="R2" s="1676"/>
      <c r="S2" s="1676"/>
    </row>
    <row r="3" spans="1:22" ht="15.75">
      <c r="A3" s="2058" t="s">
        <v>1360</v>
      </c>
      <c r="B3" s="2826" t="e">
        <f ca="1">ROUND(B2*10000/E2,0)</f>
        <v>#DIV/0!</v>
      </c>
      <c r="C3" s="2060" t="s">
        <v>2348</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2342</v>
      </c>
      <c r="B5" s="3239" t="s">
        <v>2343</v>
      </c>
      <c r="C5" s="3240"/>
      <c r="D5" s="2936"/>
      <c r="E5" s="2062" t="s">
        <v>2344</v>
      </c>
      <c r="F5" s="2063" t="s">
        <v>2345</v>
      </c>
      <c r="G5" s="1676"/>
      <c r="H5" s="1676"/>
      <c r="I5" s="1676"/>
      <c r="J5" s="1676"/>
      <c r="K5" s="1676"/>
      <c r="L5" s="1676"/>
      <c r="M5" s="1676"/>
      <c r="N5" s="1676"/>
      <c r="O5" s="1676"/>
      <c r="P5" s="1676"/>
      <c r="Q5" s="1676"/>
      <c r="R5" s="1676"/>
      <c r="S5" s="1676"/>
    </row>
    <row r="6" spans="1:22">
      <c r="A6" s="2829">
        <f>'数据-取费表'!AN6</f>
        <v>0</v>
      </c>
      <c r="B6" s="2827" t="e">
        <f ca="1">IF(F6="是",'数据-取费表'!AO6,0)</f>
        <v>#REF!</v>
      </c>
      <c r="C6" s="2060" t="s">
        <v>2340</v>
      </c>
      <c r="D6" s="2937"/>
      <c r="E6" s="2831">
        <f>IF(OR(A6=0,F6="否"),0,'数据-取费表'!K6+'数据-取费表'!S6)</f>
        <v>0</v>
      </c>
      <c r="F6" s="2064" t="s">
        <v>2346</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2340</v>
      </c>
      <c r="D7" s="2937"/>
      <c r="E7" s="2831">
        <f>IF(OR(A7=0,F7="否"),0,'数据-取费表'!K7+'数据-取费表'!S7)</f>
        <v>0</v>
      </c>
      <c r="F7" s="2064" t="s">
        <v>2346</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2340</v>
      </c>
      <c r="D8" s="2937"/>
      <c r="E8" s="2831">
        <f>IF(OR(A8=0,F8="否"),0,'数据-取费表'!K8+'数据-取费表'!S8)</f>
        <v>0</v>
      </c>
      <c r="F8" s="2064" t="s">
        <v>2346</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2340</v>
      </c>
      <c r="D9" s="2937"/>
      <c r="E9" s="2831">
        <f>IF(OR(A9=0,F9="否"),0,'数据-取费表'!K9+'数据-取费表'!S9)</f>
        <v>0</v>
      </c>
      <c r="F9" s="2064" t="s">
        <v>2346</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2340</v>
      </c>
      <c r="D10" s="2937"/>
      <c r="E10" s="2831">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2340</v>
      </c>
      <c r="D11" s="2937"/>
      <c r="E11" s="2831">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2340</v>
      </c>
      <c r="D12" s="2937"/>
      <c r="E12" s="2831">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2340</v>
      </c>
      <c r="D13" s="2938"/>
      <c r="E13" s="2831">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7" t="s">
        <v>1044</v>
      </c>
      <c r="B1" s="3258"/>
      <c r="C1" s="3259"/>
      <c r="D1" s="3260">
        <f>SUM(I10,I15,I20,I21,I23)</f>
        <v>0</v>
      </c>
      <c r="E1" s="3260"/>
      <c r="F1" s="3260"/>
      <c r="G1" s="3260"/>
      <c r="H1" s="3260"/>
      <c r="I1" s="3261"/>
    </row>
    <row r="2" spans="1:9">
      <c r="A2" s="3247" t="s">
        <v>1045</v>
      </c>
      <c r="B2" s="3248" t="s">
        <v>1046</v>
      </c>
      <c r="C2" s="3248"/>
      <c r="D2" s="1211" t="s">
        <v>1047</v>
      </c>
      <c r="E2" s="1211" t="s">
        <v>1048</v>
      </c>
      <c r="F2" s="1211" t="s">
        <v>1049</v>
      </c>
      <c r="G2" s="1211" t="s">
        <v>1050</v>
      </c>
      <c r="H2" s="1211" t="s">
        <v>1051</v>
      </c>
      <c r="I2" s="1212" t="s">
        <v>1052</v>
      </c>
    </row>
    <row r="3" spans="1:9">
      <c r="A3" s="3247"/>
      <c r="B3" s="3248" t="s">
        <v>1053</v>
      </c>
      <c r="C3" s="3248"/>
      <c r="D3" s="1213"/>
      <c r="E3" s="1211"/>
      <c r="F3" s="1214"/>
      <c r="G3" s="1214"/>
      <c r="H3" s="1215"/>
      <c r="I3" s="1216">
        <f>ROUND(D3*E3*F3*G3*H3/10000,0)</f>
        <v>0</v>
      </c>
    </row>
    <row r="4" spans="1:9">
      <c r="A4" s="3247"/>
      <c r="B4" s="3248" t="s">
        <v>1054</v>
      </c>
      <c r="C4" s="3248"/>
      <c r="D4" s="1213"/>
      <c r="E4" s="1211"/>
      <c r="F4" s="1214"/>
      <c r="G4" s="1214"/>
      <c r="H4" s="1215"/>
      <c r="I4" s="1216">
        <f t="shared" ref="I4:I9" si="0">ROUND(D4*E4*F4*G4*H4/10000,0)</f>
        <v>0</v>
      </c>
    </row>
    <row r="5" spans="1:9">
      <c r="A5" s="3247"/>
      <c r="B5" s="3248" t="s">
        <v>1055</v>
      </c>
      <c r="C5" s="3248"/>
      <c r="D5" s="1213"/>
      <c r="E5" s="1211"/>
      <c r="F5" s="1214"/>
      <c r="G5" s="1214"/>
      <c r="H5" s="1215"/>
      <c r="I5" s="1216">
        <f t="shared" si="0"/>
        <v>0</v>
      </c>
    </row>
    <row r="6" spans="1:9">
      <c r="A6" s="3247"/>
      <c r="B6" s="3248" t="s">
        <v>1056</v>
      </c>
      <c r="C6" s="3248"/>
      <c r="D6" s="1213"/>
      <c r="E6" s="1211"/>
      <c r="F6" s="1214"/>
      <c r="G6" s="1214"/>
      <c r="H6" s="1215"/>
      <c r="I6" s="1216">
        <f t="shared" si="0"/>
        <v>0</v>
      </c>
    </row>
    <row r="7" spans="1:9">
      <c r="A7" s="3247"/>
      <c r="B7" s="3248" t="s">
        <v>1057</v>
      </c>
      <c r="C7" s="3248"/>
      <c r="D7" s="1213"/>
      <c r="E7" s="1211"/>
      <c r="F7" s="1214"/>
      <c r="G7" s="1214"/>
      <c r="H7" s="1215"/>
      <c r="I7" s="1216">
        <f t="shared" si="0"/>
        <v>0</v>
      </c>
    </row>
    <row r="8" spans="1:9">
      <c r="A8" s="3247"/>
      <c r="B8" s="3248" t="s">
        <v>1058</v>
      </c>
      <c r="C8" s="3248"/>
      <c r="D8" s="1213"/>
      <c r="E8" s="1211"/>
      <c r="F8" s="1214"/>
      <c r="G8" s="1214"/>
      <c r="H8" s="1215"/>
      <c r="I8" s="1216">
        <f t="shared" si="0"/>
        <v>0</v>
      </c>
    </row>
    <row r="9" spans="1:9">
      <c r="A9" s="3247"/>
      <c r="B9" s="3248" t="s">
        <v>1059</v>
      </c>
      <c r="C9" s="3248"/>
      <c r="D9" s="1213"/>
      <c r="E9" s="1211"/>
      <c r="F9" s="1214"/>
      <c r="G9" s="1214"/>
      <c r="H9" s="1215"/>
      <c r="I9" s="1216">
        <f t="shared" si="0"/>
        <v>0</v>
      </c>
    </row>
    <row r="10" spans="1:9">
      <c r="A10" s="3247"/>
      <c r="B10" s="3249" t="s">
        <v>1060</v>
      </c>
      <c r="C10" s="3249"/>
      <c r="D10" s="1217"/>
      <c r="E10" s="1217" t="e">
        <f>ROUND(D1*10000/D10/H9,0)</f>
        <v>#DIV/0!</v>
      </c>
      <c r="F10" s="1218"/>
      <c r="G10" s="1218"/>
      <c r="H10" s="1219"/>
      <c r="I10" s="1220">
        <f>SUM(I3:I9)</f>
        <v>0</v>
      </c>
    </row>
    <row r="11" spans="1:9" ht="14.25">
      <c r="A11" s="3247" t="s">
        <v>1061</v>
      </c>
      <c r="B11" s="3248" t="s">
        <v>1062</v>
      </c>
      <c r="C11" s="3248"/>
      <c r="D11" s="1213" t="s">
        <v>1063</v>
      </c>
      <c r="E11" s="1213" t="s">
        <v>1064</v>
      </c>
      <c r="F11" s="1214" t="s">
        <v>1065</v>
      </c>
      <c r="G11" s="1214" t="s">
        <v>1051</v>
      </c>
      <c r="H11" s="1221" t="s">
        <v>1066</v>
      </c>
      <c r="I11" s="1212" t="s">
        <v>1052</v>
      </c>
    </row>
    <row r="12" spans="1:9">
      <c r="A12" s="3247"/>
      <c r="B12" s="3248" t="s">
        <v>1067</v>
      </c>
      <c r="C12" s="3248"/>
      <c r="D12" s="1213"/>
      <c r="E12" s="1213"/>
      <c r="F12" s="1214"/>
      <c r="G12" s="1215"/>
      <c r="H12" s="1222"/>
      <c r="I12" s="1212">
        <f>ROUND(D12*E12*F12*G12/10000,0)</f>
        <v>0</v>
      </c>
    </row>
    <row r="13" spans="1:9">
      <c r="A13" s="3247"/>
      <c r="B13" s="3248" t="s">
        <v>1068</v>
      </c>
      <c r="C13" s="3248"/>
      <c r="D13" s="1213"/>
      <c r="E13" s="1213"/>
      <c r="F13" s="1214"/>
      <c r="G13" s="1215"/>
      <c r="H13" s="1222"/>
      <c r="I13" s="1212">
        <f>ROUND(D13*E13*F13*G13/10000,0)</f>
        <v>0</v>
      </c>
    </row>
    <row r="14" spans="1:9">
      <c r="A14" s="3247"/>
      <c r="B14" s="3248" t="s">
        <v>1069</v>
      </c>
      <c r="C14" s="3248"/>
      <c r="D14" s="1213"/>
      <c r="E14" s="1213"/>
      <c r="F14" s="1214"/>
      <c r="G14" s="1215"/>
      <c r="H14" s="1222"/>
      <c r="I14" s="1212">
        <f>ROUND(D14*E14*F14*G14/10000,0)</f>
        <v>0</v>
      </c>
    </row>
    <row r="15" spans="1:9">
      <c r="A15" s="3247"/>
      <c r="B15" s="3249" t="s">
        <v>1060</v>
      </c>
      <c r="C15" s="3249"/>
      <c r="D15" s="1217"/>
      <c r="E15" s="1217">
        <f>SUM(E12:E14)</f>
        <v>0</v>
      </c>
      <c r="F15" s="1218"/>
      <c r="G15" s="1215"/>
      <c r="H15" s="1222"/>
      <c r="I15" s="1223">
        <f>SUM(I12:I14)</f>
        <v>0</v>
      </c>
    </row>
    <row r="16" spans="1:9" ht="24">
      <c r="A16" s="3247" t="s">
        <v>1070</v>
      </c>
      <c r="B16" s="3248" t="s">
        <v>1071</v>
      </c>
      <c r="C16" s="3248"/>
      <c r="D16" s="1213" t="s">
        <v>1047</v>
      </c>
      <c r="E16" s="1224" t="s">
        <v>1072</v>
      </c>
      <c r="F16" s="1214" t="s">
        <v>1073</v>
      </c>
      <c r="G16" s="1215" t="s">
        <v>1051</v>
      </c>
      <c r="H16" s="1221" t="s">
        <v>1066</v>
      </c>
      <c r="I16" s="1212" t="s">
        <v>1052</v>
      </c>
    </row>
    <row r="17" spans="1:9" ht="14.25">
      <c r="A17" s="3247"/>
      <c r="B17" s="3248" t="s">
        <v>1074</v>
      </c>
      <c r="C17" s="3248"/>
      <c r="D17" s="1213"/>
      <c r="E17" s="1213"/>
      <c r="F17" s="1214"/>
      <c r="G17" s="1215"/>
      <c r="H17" s="1225"/>
      <c r="I17" s="1226">
        <f>ROUND(D17*E17*F17*G17/10000,0)</f>
        <v>0</v>
      </c>
    </row>
    <row r="18" spans="1:9" ht="14.25">
      <c r="A18" s="3247"/>
      <c r="B18" s="3248" t="s">
        <v>1075</v>
      </c>
      <c r="C18" s="3248"/>
      <c r="D18" s="1213"/>
      <c r="E18" s="1213"/>
      <c r="F18" s="1214"/>
      <c r="G18" s="1215"/>
      <c r="H18" s="1225"/>
      <c r="I18" s="1226">
        <f>ROUND(D18*E18*F18*G18/10000,0)</f>
        <v>0</v>
      </c>
    </row>
    <row r="19" spans="1:9" ht="14.25">
      <c r="A19" s="3247"/>
      <c r="B19" s="3248" t="s">
        <v>1076</v>
      </c>
      <c r="C19" s="3248"/>
      <c r="D19" s="1213"/>
      <c r="E19" s="1213"/>
      <c r="F19" s="1214"/>
      <c r="G19" s="1215"/>
      <c r="H19" s="1225"/>
      <c r="I19" s="1226">
        <f>ROUND(D19*E19*F19*G19/10000,0)</f>
        <v>0</v>
      </c>
    </row>
    <row r="20" spans="1:9">
      <c r="A20" s="3247"/>
      <c r="B20" s="3249" t="s">
        <v>1060</v>
      </c>
      <c r="C20" s="3249"/>
      <c r="D20" s="1217">
        <f>SUM(D17:D19)</f>
        <v>0</v>
      </c>
      <c r="E20" s="1217"/>
      <c r="F20" s="1218"/>
      <c r="G20" s="1215"/>
      <c r="H20" s="1222"/>
      <c r="I20" s="1223">
        <f>SUM(I17:I19)</f>
        <v>0</v>
      </c>
    </row>
    <row r="21" spans="1:9">
      <c r="A21" s="3247" t="s">
        <v>1077</v>
      </c>
      <c r="B21" s="3250"/>
      <c r="C21" s="3250"/>
      <c r="D21" s="3250"/>
      <c r="E21" s="3250"/>
      <c r="F21" s="3250"/>
      <c r="G21" s="3250"/>
      <c r="H21" s="1504">
        <v>0.1</v>
      </c>
      <c r="I21" s="1220">
        <f>ROUND(I10*H21,0)</f>
        <v>0</v>
      </c>
    </row>
    <row r="22" spans="1:9" ht="14.25">
      <c r="A22" s="3251" t="s">
        <v>1078</v>
      </c>
      <c r="B22" s="3252"/>
      <c r="C22" s="3253"/>
      <c r="D22" s="1227" t="s">
        <v>1079</v>
      </c>
      <c r="E22" s="1227" t="s">
        <v>1080</v>
      </c>
      <c r="F22" s="1228" t="s">
        <v>1081</v>
      </c>
      <c r="G22" s="1228" t="s">
        <v>1082</v>
      </c>
      <c r="H22" s="1221" t="s">
        <v>1083</v>
      </c>
      <c r="I22" s="1212" t="s">
        <v>1084</v>
      </c>
    </row>
    <row r="23" spans="1:9" ht="14.25" thickBot="1">
      <c r="A23" s="3254"/>
      <c r="B23" s="3255"/>
      <c r="C23" s="3256"/>
      <c r="D23" s="1229"/>
      <c r="E23" s="1229"/>
      <c r="F23" s="1229"/>
      <c r="G23" s="1230"/>
      <c r="H23" s="1231"/>
      <c r="I23" s="1232">
        <f>ROUND(E23*D23*F23*(1-G23)/10000,0)</f>
        <v>0</v>
      </c>
    </row>
    <row r="26" spans="1:9">
      <c r="A26" s="1233" t="s">
        <v>1085</v>
      </c>
      <c r="B26" s="1233"/>
      <c r="C26" s="1233"/>
      <c r="D26" s="1233"/>
      <c r="E26" s="3244">
        <f>C27-C30-C31-C32</f>
        <v>0</v>
      </c>
      <c r="F26" s="3244"/>
      <c r="G26" s="3244"/>
      <c r="H26" s="1501" t="s">
        <v>1306</v>
      </c>
    </row>
    <row r="27" spans="1:9">
      <c r="A27" s="1234">
        <v>1</v>
      </c>
      <c r="B27" s="1235" t="s">
        <v>1086</v>
      </c>
      <c r="C27" s="1235">
        <f>C28+C29</f>
        <v>0</v>
      </c>
      <c r="D27" s="1235"/>
      <c r="E27" s="3245"/>
      <c r="F27" s="3245"/>
      <c r="G27" s="3245"/>
    </row>
    <row r="28" spans="1:9">
      <c r="A28" s="1236" t="s">
        <v>1087</v>
      </c>
      <c r="B28" s="1235" t="s">
        <v>1088</v>
      </c>
      <c r="C28" s="1235"/>
      <c r="D28" s="1235"/>
      <c r="E28" s="3245"/>
      <c r="F28" s="3245"/>
      <c r="G28" s="324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46"/>
      <c r="F32" s="3246"/>
      <c r="G32" s="3246"/>
    </row>
    <row r="33" spans="1:7" hidden="1">
      <c r="A33" s="3241" t="s">
        <v>1097</v>
      </c>
      <c r="B33" s="3242"/>
      <c r="C33" s="3242"/>
      <c r="D33" s="3243"/>
      <c r="E33" s="3244"/>
      <c r="F33" s="3244"/>
      <c r="G33" s="3244"/>
    </row>
    <row r="34" spans="1:7" hidden="1">
      <c r="A34" s="1238">
        <v>1</v>
      </c>
      <c r="B34" s="1235" t="s">
        <v>1098</v>
      </c>
      <c r="C34" s="1235"/>
      <c r="D34" s="1235"/>
      <c r="E34" s="3245"/>
      <c r="F34" s="3245"/>
      <c r="G34" s="3245"/>
    </row>
    <row r="35" spans="1:7" hidden="1">
      <c r="A35" s="1238">
        <v>2</v>
      </c>
      <c r="B35" s="1235" t="s">
        <v>1099</v>
      </c>
      <c r="C35" s="1235"/>
      <c r="D35" s="1235"/>
      <c r="E35" s="3245"/>
      <c r="F35" s="3245"/>
      <c r="G35" s="3245"/>
    </row>
    <row r="36" spans="1:7" hidden="1">
      <c r="A36" s="1238">
        <v>3</v>
      </c>
      <c r="B36" s="1235" t="s">
        <v>1100</v>
      </c>
      <c r="C36" s="1235"/>
      <c r="D36" s="1235"/>
      <c r="E36" s="3245"/>
      <c r="F36" s="3245"/>
      <c r="G36" s="3245"/>
    </row>
    <row r="37" spans="1:7" hidden="1">
      <c r="A37" s="1238">
        <v>4</v>
      </c>
      <c r="B37" s="1235" t="s">
        <v>1101</v>
      </c>
      <c r="C37" s="1235"/>
      <c r="D37" s="1235"/>
      <c r="E37" s="3245"/>
      <c r="F37" s="3245"/>
      <c r="G37" s="3245"/>
    </row>
    <row r="38" spans="1:7" hidden="1">
      <c r="A38" s="3241" t="s">
        <v>1102</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622.69000000000005</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2356</v>
      </c>
      <c r="B4" s="362"/>
      <c r="C4" s="3280" t="s">
        <v>2357</v>
      </c>
      <c r="D4" s="3281"/>
      <c r="E4" s="3282" t="s">
        <v>2358</v>
      </c>
      <c r="F4" s="3283"/>
      <c r="G4" s="3280" t="s">
        <v>2359</v>
      </c>
      <c r="H4" s="3281"/>
      <c r="I4" s="3280" t="s">
        <v>2360</v>
      </c>
      <c r="J4" s="3281"/>
      <c r="K4" s="2077" t="s">
        <v>2361</v>
      </c>
      <c r="L4" s="2943"/>
      <c r="M4" s="2944"/>
      <c r="N4" s="2944"/>
      <c r="O4" s="2944"/>
      <c r="P4" s="3284" t="s">
        <v>2362</v>
      </c>
      <c r="Q4" s="3285"/>
      <c r="R4" s="3290" t="s">
        <v>2358</v>
      </c>
      <c r="S4" s="3291"/>
      <c r="T4" s="3290" t="s">
        <v>2359</v>
      </c>
      <c r="U4" s="3291"/>
      <c r="V4" s="3296" t="s">
        <v>2360</v>
      </c>
      <c r="W4" s="3296"/>
      <c r="X4" s="1541"/>
      <c r="Y4" s="3290" t="s">
        <v>2362</v>
      </c>
      <c r="Z4" s="3291"/>
      <c r="AA4" s="3277" t="s">
        <v>2358</v>
      </c>
      <c r="AB4" s="3277" t="s">
        <v>2359</v>
      </c>
      <c r="AC4" s="3277" t="s">
        <v>2360</v>
      </c>
    </row>
    <row r="5" spans="1:29" ht="15">
      <c r="A5" s="364"/>
      <c r="B5" s="365"/>
      <c r="C5" s="3299" t="s">
        <v>2363</v>
      </c>
      <c r="D5" s="3300"/>
      <c r="E5" s="3306" t="s">
        <v>2364</v>
      </c>
      <c r="F5" s="3307"/>
      <c r="G5" s="3299" t="s">
        <v>2365</v>
      </c>
      <c r="H5" s="3300"/>
      <c r="I5" s="3299" t="s">
        <v>2366</v>
      </c>
      <c r="J5" s="3300"/>
      <c r="K5" s="2078"/>
      <c r="L5" s="2943"/>
      <c r="M5" s="2944"/>
      <c r="N5" s="2944"/>
      <c r="O5" s="2944"/>
      <c r="P5" s="3286"/>
      <c r="Q5" s="3287"/>
      <c r="R5" s="3292"/>
      <c r="S5" s="3293"/>
      <c r="T5" s="3292"/>
      <c r="U5" s="3293"/>
      <c r="V5" s="3296"/>
      <c r="W5" s="3296"/>
      <c r="X5" s="1541"/>
      <c r="Y5" s="3292"/>
      <c r="Z5" s="3293"/>
      <c r="AA5" s="3278"/>
      <c r="AB5" s="3278"/>
      <c r="AC5" s="3278"/>
    </row>
    <row r="6" spans="1:29" ht="15.75" thickBot="1">
      <c r="A6" s="366"/>
      <c r="B6" s="367"/>
      <c r="C6" s="3297" t="s">
        <v>2367</v>
      </c>
      <c r="D6" s="3298"/>
      <c r="E6" s="3304" t="s">
        <v>2367</v>
      </c>
      <c r="F6" s="3305"/>
      <c r="G6" s="3297" t="s">
        <v>2367</v>
      </c>
      <c r="H6" s="3298"/>
      <c r="I6" s="3297" t="s">
        <v>2367</v>
      </c>
      <c r="J6" s="3298"/>
      <c r="K6" s="2078" t="s">
        <v>2368</v>
      </c>
      <c r="L6" s="2943"/>
      <c r="M6" s="2944"/>
      <c r="N6" s="2944"/>
      <c r="O6" s="2944"/>
      <c r="P6" s="3288"/>
      <c r="Q6" s="3289"/>
      <c r="R6" s="3292"/>
      <c r="S6" s="3293"/>
      <c r="T6" s="3294"/>
      <c r="U6" s="3295"/>
      <c r="V6" s="3296"/>
      <c r="W6" s="3296"/>
      <c r="X6" s="1541"/>
      <c r="Y6" s="3294"/>
      <c r="Z6" s="3295"/>
      <c r="AA6" s="3279"/>
      <c r="AB6" s="3279"/>
      <c r="AC6" s="3279"/>
    </row>
    <row r="7" spans="1:29" s="113" customFormat="1" ht="15.75" thickBot="1">
      <c r="A7" s="368" t="s">
        <v>2369</v>
      </c>
      <c r="B7" s="369"/>
      <c r="C7" s="370">
        <f>'数据-取费表'!B2</f>
        <v>44187</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01" t="s">
        <v>2370</v>
      </c>
      <c r="Q7" s="3303"/>
      <c r="R7" s="710" t="s">
        <v>23</v>
      </c>
      <c r="S7" s="711">
        <f t="shared" ref="S7:S15" si="0">F7</f>
        <v>0</v>
      </c>
      <c r="T7" s="710" t="s">
        <v>23</v>
      </c>
      <c r="U7" s="711">
        <f t="shared" ref="U7:U15" si="1">H7</f>
        <v>0</v>
      </c>
      <c r="V7" s="710" t="s">
        <v>23</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01" t="s">
        <v>2373</v>
      </c>
      <c r="Q8" s="3302"/>
      <c r="R8" s="710" t="s">
        <v>23</v>
      </c>
      <c r="S8" s="711">
        <f t="shared" si="0"/>
        <v>0</v>
      </c>
      <c r="T8" s="710" t="s">
        <v>23</v>
      </c>
      <c r="U8" s="711">
        <f t="shared" si="1"/>
        <v>0</v>
      </c>
      <c r="V8" s="710" t="s">
        <v>23</v>
      </c>
      <c r="W8" s="711">
        <f t="shared" si="2"/>
        <v>0</v>
      </c>
      <c r="X8" s="712"/>
      <c r="Y8" s="3301" t="s">
        <v>2373</v>
      </c>
      <c r="Z8" s="330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276"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76"/>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76"/>
      <c r="Q11" s="1529" t="str">
        <f t="shared" si="6"/>
        <v>容积率</v>
      </c>
      <c r="R11" s="710" t="s">
        <v>21</v>
      </c>
      <c r="S11" s="711" t="e">
        <f t="shared" si="0"/>
        <v>#N/A</v>
      </c>
      <c r="T11" s="710" t="s">
        <v>21</v>
      </c>
      <c r="U11" s="711" t="e">
        <f t="shared" si="1"/>
        <v>#N/A</v>
      </c>
      <c r="V11" s="710" t="s">
        <v>21</v>
      </c>
      <c r="W11" s="711" t="e">
        <f t="shared" si="2"/>
        <v>#N/A</v>
      </c>
      <c r="X11" s="712"/>
      <c r="Y11" s="313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276"/>
      <c r="Q12" s="1529">
        <f t="shared" si="6"/>
        <v>111</v>
      </c>
      <c r="R12" s="710" t="s">
        <v>21</v>
      </c>
      <c r="S12" s="711">
        <f t="shared" si="0"/>
        <v>100</v>
      </c>
      <c r="T12" s="710" t="s">
        <v>21</v>
      </c>
      <c r="U12" s="711">
        <f t="shared" si="1"/>
        <v>100</v>
      </c>
      <c r="V12" s="710" t="s">
        <v>21</v>
      </c>
      <c r="W12" s="711">
        <f t="shared" si="2"/>
        <v>100</v>
      </c>
      <c r="X12" s="712"/>
      <c r="Y12" s="313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276"/>
      <c r="Q13" s="1529">
        <f t="shared" si="6"/>
        <v>111</v>
      </c>
      <c r="R13" s="710" t="s">
        <v>21</v>
      </c>
      <c r="S13" s="711">
        <f t="shared" si="0"/>
        <v>100</v>
      </c>
      <c r="T13" s="710" t="s">
        <v>21</v>
      </c>
      <c r="U13" s="711">
        <f t="shared" si="1"/>
        <v>100</v>
      </c>
      <c r="V13" s="710" t="s">
        <v>21</v>
      </c>
      <c r="W13" s="711">
        <f t="shared" si="2"/>
        <v>100</v>
      </c>
      <c r="X13" s="712"/>
      <c r="Y13" s="313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276"/>
      <c r="Q14" s="1529">
        <f t="shared" si="6"/>
        <v>111</v>
      </c>
      <c r="R14" s="710" t="s">
        <v>21</v>
      </c>
      <c r="S14" s="711">
        <f t="shared" si="0"/>
        <v>100</v>
      </c>
      <c r="T14" s="710" t="s">
        <v>21</v>
      </c>
      <c r="U14" s="711">
        <f t="shared" si="1"/>
        <v>100</v>
      </c>
      <c r="V14" s="710" t="s">
        <v>21</v>
      </c>
      <c r="W14" s="711">
        <f t="shared" si="2"/>
        <v>100</v>
      </c>
      <c r="X14" s="712"/>
      <c r="Y14" s="3135"/>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74" t="s">
        <v>2381</v>
      </c>
      <c r="Q15" s="1538" t="str">
        <f t="shared" si="6"/>
        <v>居住社区成熟度</v>
      </c>
      <c r="R15" s="714" t="s">
        <v>21</v>
      </c>
      <c r="S15" s="715">
        <f t="shared" si="0"/>
        <v>100</v>
      </c>
      <c r="T15" s="714" t="s">
        <v>21</v>
      </c>
      <c r="U15" s="715">
        <f t="shared" si="1"/>
        <v>100</v>
      </c>
      <c r="V15" s="714" t="s">
        <v>21</v>
      </c>
      <c r="W15" s="715">
        <f t="shared" si="2"/>
        <v>100</v>
      </c>
      <c r="X15" s="1541"/>
      <c r="Y15" s="3267"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275"/>
      <c r="Q16" s="1538"/>
      <c r="R16" s="714"/>
      <c r="S16" s="715"/>
      <c r="T16" s="714"/>
      <c r="U16" s="715"/>
      <c r="V16" s="714"/>
      <c r="W16" s="715"/>
      <c r="X16" s="1541"/>
      <c r="Y16" s="3268"/>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75"/>
      <c r="Q17" s="1538" t="str">
        <f>B17</f>
        <v>交通便捷度</v>
      </c>
      <c r="R17" s="714" t="s">
        <v>21</v>
      </c>
      <c r="S17" s="715">
        <f>F17</f>
        <v>100</v>
      </c>
      <c r="T17" s="714" t="s">
        <v>21</v>
      </c>
      <c r="U17" s="715">
        <f>H17</f>
        <v>100</v>
      </c>
      <c r="V17" s="714" t="s">
        <v>21</v>
      </c>
      <c r="W17" s="715">
        <f>J17</f>
        <v>100</v>
      </c>
      <c r="X17" s="1541"/>
      <c r="Y17" s="326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275"/>
      <c r="Q18" s="1538"/>
      <c r="R18" s="714"/>
      <c r="S18" s="715"/>
      <c r="T18" s="714"/>
      <c r="U18" s="715"/>
      <c r="V18" s="714"/>
      <c r="W18" s="715"/>
      <c r="X18" s="1541"/>
      <c r="Y18" s="3268"/>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75"/>
      <c r="Q19" s="1538" t="str">
        <f>B19</f>
        <v>公共配套设施</v>
      </c>
      <c r="R19" s="714" t="s">
        <v>21</v>
      </c>
      <c r="S19" s="715">
        <f>F19</f>
        <v>100</v>
      </c>
      <c r="T19" s="714" t="s">
        <v>21</v>
      </c>
      <c r="U19" s="715">
        <f>H19</f>
        <v>100</v>
      </c>
      <c r="V19" s="714" t="s">
        <v>21</v>
      </c>
      <c r="W19" s="715">
        <f>J19</f>
        <v>100</v>
      </c>
      <c r="X19" s="1541"/>
      <c r="Y19" s="326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275"/>
      <c r="Q20" s="1538"/>
      <c r="R20" s="714"/>
      <c r="S20" s="715"/>
      <c r="T20" s="714"/>
      <c r="U20" s="715"/>
      <c r="V20" s="714"/>
      <c r="W20" s="715"/>
      <c r="X20" s="1541"/>
      <c r="Y20" s="3268"/>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75"/>
      <c r="Q21" s="1538" t="str">
        <f>B21</f>
        <v>基础设施水平</v>
      </c>
      <c r="R21" s="714" t="s">
        <v>17</v>
      </c>
      <c r="S21" s="715">
        <f>F21</f>
        <v>100</v>
      </c>
      <c r="T21" s="714" t="s">
        <v>17</v>
      </c>
      <c r="U21" s="715">
        <f>H21</f>
        <v>100</v>
      </c>
      <c r="V21" s="714" t="s">
        <v>17</v>
      </c>
      <c r="W21" s="715">
        <f>J21</f>
        <v>100</v>
      </c>
      <c r="X21" s="1541"/>
      <c r="Y21" s="326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275"/>
      <c r="Q22" s="1538"/>
      <c r="R22" s="714"/>
      <c r="S22" s="715"/>
      <c r="T22" s="714"/>
      <c r="U22" s="715"/>
      <c r="V22" s="714"/>
      <c r="W22" s="715"/>
      <c r="X22" s="1541"/>
      <c r="Y22" s="3268"/>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75"/>
      <c r="Q23" s="1538" t="str">
        <f>B23</f>
        <v>自然及人文环境</v>
      </c>
      <c r="R23" s="714" t="s">
        <v>21</v>
      </c>
      <c r="S23" s="715">
        <f>F23</f>
        <v>100</v>
      </c>
      <c r="T23" s="714" t="s">
        <v>21</v>
      </c>
      <c r="U23" s="715">
        <f>H23</f>
        <v>100</v>
      </c>
      <c r="V23" s="714" t="s">
        <v>21</v>
      </c>
      <c r="W23" s="715">
        <f>J23</f>
        <v>100</v>
      </c>
      <c r="X23" s="1541"/>
      <c r="Y23" s="326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275"/>
      <c r="Q24" s="1538"/>
      <c r="R24" s="714"/>
      <c r="S24" s="715"/>
      <c r="T24" s="714"/>
      <c r="U24" s="715"/>
      <c r="V24" s="714"/>
      <c r="W24" s="715"/>
      <c r="X24" s="1541"/>
      <c r="Y24" s="3268"/>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275"/>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68"/>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275"/>
      <c r="Q26" s="1538" t="str">
        <f t="shared" si="11"/>
        <v>朝向</v>
      </c>
      <c r="R26" s="714" t="s">
        <v>21</v>
      </c>
      <c r="S26" s="715">
        <f t="shared" si="12"/>
        <v>100</v>
      </c>
      <c r="T26" s="714" t="s">
        <v>21</v>
      </c>
      <c r="U26" s="715">
        <f t="shared" si="13"/>
        <v>100</v>
      </c>
      <c r="V26" s="714" t="s">
        <v>21</v>
      </c>
      <c r="W26" s="715">
        <f t="shared" si="14"/>
        <v>100</v>
      </c>
      <c r="X26" s="1541"/>
      <c r="Y26" s="326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275"/>
      <c r="Q27" s="1529">
        <f t="shared" si="11"/>
        <v>111</v>
      </c>
      <c r="R27" s="710" t="s">
        <v>21</v>
      </c>
      <c r="S27" s="711">
        <f t="shared" si="12"/>
        <v>100</v>
      </c>
      <c r="T27" s="710" t="s">
        <v>21</v>
      </c>
      <c r="U27" s="711">
        <f t="shared" si="13"/>
        <v>100</v>
      </c>
      <c r="V27" s="710" t="s">
        <v>21</v>
      </c>
      <c r="W27" s="711">
        <f t="shared" si="14"/>
        <v>100</v>
      </c>
      <c r="X27" s="712"/>
      <c r="Y27" s="326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275"/>
      <c r="Q28" s="1538">
        <f t="shared" si="11"/>
        <v>111</v>
      </c>
      <c r="R28" s="714" t="s">
        <v>21</v>
      </c>
      <c r="S28" s="715">
        <f t="shared" si="12"/>
        <v>100</v>
      </c>
      <c r="T28" s="714" t="s">
        <v>21</v>
      </c>
      <c r="U28" s="715">
        <f t="shared" si="13"/>
        <v>100</v>
      </c>
      <c r="V28" s="714" t="s">
        <v>21</v>
      </c>
      <c r="W28" s="715">
        <f t="shared" si="14"/>
        <v>100</v>
      </c>
      <c r="X28" s="1541"/>
      <c r="Y28" s="326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275"/>
      <c r="Q29" s="1538">
        <f t="shared" si="11"/>
        <v>111</v>
      </c>
      <c r="R29" s="714" t="s">
        <v>21</v>
      </c>
      <c r="S29" s="715">
        <f t="shared" si="12"/>
        <v>100</v>
      </c>
      <c r="T29" s="714" t="s">
        <v>21</v>
      </c>
      <c r="U29" s="715">
        <f t="shared" si="13"/>
        <v>100</v>
      </c>
      <c r="V29" s="714" t="s">
        <v>21</v>
      </c>
      <c r="W29" s="715">
        <f t="shared" si="14"/>
        <v>100</v>
      </c>
      <c r="X29" s="1541"/>
      <c r="Y29" s="326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275"/>
      <c r="Q30" s="1538">
        <f t="shared" si="11"/>
        <v>111</v>
      </c>
      <c r="R30" s="714" t="s">
        <v>21</v>
      </c>
      <c r="S30" s="715">
        <f t="shared" si="12"/>
        <v>100</v>
      </c>
      <c r="T30" s="714" t="s">
        <v>21</v>
      </c>
      <c r="U30" s="715">
        <f t="shared" si="13"/>
        <v>100</v>
      </c>
      <c r="V30" s="714" t="s">
        <v>21</v>
      </c>
      <c r="W30" s="715">
        <f t="shared" si="14"/>
        <v>100</v>
      </c>
      <c r="X30" s="1541"/>
      <c r="Y30" s="326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275"/>
      <c r="Q31" s="1538">
        <f t="shared" si="11"/>
        <v>111</v>
      </c>
      <c r="R31" s="714" t="s">
        <v>21</v>
      </c>
      <c r="S31" s="715">
        <f t="shared" si="12"/>
        <v>100</v>
      </c>
      <c r="T31" s="714" t="s">
        <v>21</v>
      </c>
      <c r="U31" s="715">
        <f t="shared" si="13"/>
        <v>100</v>
      </c>
      <c r="V31" s="714" t="s">
        <v>21</v>
      </c>
      <c r="W31" s="715">
        <f t="shared" si="14"/>
        <v>100</v>
      </c>
      <c r="X31" s="1541"/>
      <c r="Y31" s="3268"/>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69" t="s">
        <v>2386</v>
      </c>
      <c r="Q32" s="1538" t="str">
        <f t="shared" si="11"/>
        <v>建筑类型</v>
      </c>
      <c r="R32" s="714" t="s">
        <v>21</v>
      </c>
      <c r="S32" s="715">
        <f t="shared" si="12"/>
        <v>100</v>
      </c>
      <c r="T32" s="714" t="s">
        <v>21</v>
      </c>
      <c r="U32" s="715">
        <f t="shared" si="13"/>
        <v>100</v>
      </c>
      <c r="V32" s="714" t="s">
        <v>21</v>
      </c>
      <c r="W32" s="715">
        <f t="shared" si="14"/>
        <v>100</v>
      </c>
      <c r="X32" s="1541"/>
      <c r="Y32" s="3272"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70"/>
      <c r="Q33" s="716" t="str">
        <f t="shared" si="11"/>
        <v>项目建筑规模</v>
      </c>
      <c r="R33" s="717" t="s">
        <v>21</v>
      </c>
      <c r="S33" s="718" t="e">
        <f t="shared" si="12"/>
        <v>#N/A</v>
      </c>
      <c r="T33" s="717" t="s">
        <v>21</v>
      </c>
      <c r="U33" s="718" t="e">
        <f t="shared" si="13"/>
        <v>#N/A</v>
      </c>
      <c r="V33" s="717" t="s">
        <v>21</v>
      </c>
      <c r="W33" s="718" t="e">
        <f t="shared" si="14"/>
        <v>#N/A</v>
      </c>
      <c r="X33" s="719"/>
      <c r="Y33" s="3272"/>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70"/>
      <c r="Q34" s="1538" t="str">
        <f t="shared" si="11"/>
        <v>建筑结构</v>
      </c>
      <c r="R34" s="714" t="s">
        <v>21</v>
      </c>
      <c r="S34" s="715">
        <f t="shared" si="12"/>
        <v>100</v>
      </c>
      <c r="T34" s="714" t="s">
        <v>21</v>
      </c>
      <c r="U34" s="715">
        <f t="shared" si="13"/>
        <v>100</v>
      </c>
      <c r="V34" s="714" t="s">
        <v>21</v>
      </c>
      <c r="W34" s="715">
        <f t="shared" si="14"/>
        <v>100</v>
      </c>
      <c r="X34" s="1541"/>
      <c r="Y34" s="3272"/>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70"/>
      <c r="Q35" s="1538" t="str">
        <f t="shared" si="11"/>
        <v>建筑品质</v>
      </c>
      <c r="R35" s="714" t="s">
        <v>21</v>
      </c>
      <c r="S35" s="715">
        <f t="shared" si="12"/>
        <v>100</v>
      </c>
      <c r="T35" s="714" t="s">
        <v>21</v>
      </c>
      <c r="U35" s="715">
        <f t="shared" si="13"/>
        <v>100</v>
      </c>
      <c r="V35" s="714" t="s">
        <v>21</v>
      </c>
      <c r="W35" s="715">
        <f t="shared" si="14"/>
        <v>100</v>
      </c>
      <c r="X35" s="1541"/>
      <c r="Y35" s="3272"/>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70"/>
      <c r="Q36" s="1538" t="str">
        <f t="shared" si="11"/>
        <v>公共部分装修</v>
      </c>
      <c r="R36" s="714" t="s">
        <v>21</v>
      </c>
      <c r="S36" s="715">
        <f t="shared" si="12"/>
        <v>100</v>
      </c>
      <c r="T36" s="714" t="s">
        <v>21</v>
      </c>
      <c r="U36" s="715">
        <f t="shared" si="13"/>
        <v>100</v>
      </c>
      <c r="V36" s="714" t="s">
        <v>21</v>
      </c>
      <c r="W36" s="715">
        <f t="shared" si="14"/>
        <v>100</v>
      </c>
      <c r="X36" s="1541"/>
      <c r="Y36" s="3272"/>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70"/>
      <c r="Q37" s="1529" t="str">
        <f t="shared" si="11"/>
        <v>成新度</v>
      </c>
      <c r="R37" s="710" t="s">
        <v>21</v>
      </c>
      <c r="S37" s="711" t="e">
        <f t="shared" si="12"/>
        <v>#N/A</v>
      </c>
      <c r="T37" s="710" t="s">
        <v>21</v>
      </c>
      <c r="U37" s="711" t="e">
        <f t="shared" si="13"/>
        <v>#N/A</v>
      </c>
      <c r="V37" s="710" t="s">
        <v>21</v>
      </c>
      <c r="W37" s="711" t="e">
        <f t="shared" si="14"/>
        <v>#N/A</v>
      </c>
      <c r="X37" s="712"/>
      <c r="Y37" s="3272"/>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70" t="s">
        <v>2386</v>
      </c>
      <c r="Q38" s="1538" t="str">
        <f t="shared" si="11"/>
        <v>物业管理</v>
      </c>
      <c r="R38" s="714" t="s">
        <v>21</v>
      </c>
      <c r="S38" s="715">
        <f t="shared" si="12"/>
        <v>100</v>
      </c>
      <c r="T38" s="714" t="s">
        <v>21</v>
      </c>
      <c r="U38" s="715">
        <f t="shared" si="13"/>
        <v>100</v>
      </c>
      <c r="V38" s="714" t="s">
        <v>21</v>
      </c>
      <c r="W38" s="715">
        <f t="shared" si="14"/>
        <v>100</v>
      </c>
      <c r="X38" s="1541"/>
      <c r="Y38" s="3272"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70"/>
      <c r="Q39" s="1538" t="str">
        <f t="shared" si="11"/>
        <v>市政基础设施</v>
      </c>
      <c r="R39" s="714" t="s">
        <v>21</v>
      </c>
      <c r="S39" s="715">
        <f t="shared" si="12"/>
        <v>100</v>
      </c>
      <c r="T39" s="714" t="s">
        <v>21</v>
      </c>
      <c r="U39" s="715">
        <f t="shared" si="13"/>
        <v>100</v>
      </c>
      <c r="V39" s="714" t="s">
        <v>21</v>
      </c>
      <c r="W39" s="715">
        <f t="shared" si="14"/>
        <v>100</v>
      </c>
      <c r="X39" s="1541"/>
      <c r="Y39" s="3272"/>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70"/>
      <c r="Q40" s="1538" t="str">
        <f t="shared" si="11"/>
        <v>房型</v>
      </c>
      <c r="R40" s="714" t="s">
        <v>21</v>
      </c>
      <c r="S40" s="715">
        <f t="shared" si="12"/>
        <v>100</v>
      </c>
      <c r="T40" s="714" t="s">
        <v>21</v>
      </c>
      <c r="U40" s="715">
        <f t="shared" si="13"/>
        <v>100</v>
      </c>
      <c r="V40" s="714" t="s">
        <v>21</v>
      </c>
      <c r="W40" s="715">
        <f t="shared" si="14"/>
        <v>100</v>
      </c>
      <c r="X40" s="1541"/>
      <c r="Y40" s="3272"/>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70"/>
      <c r="Q41" s="716" t="str">
        <f t="shared" si="11"/>
        <v>单套/主力户型建筑面积</v>
      </c>
      <c r="R41" s="717" t="s">
        <v>21</v>
      </c>
      <c r="S41" s="718">
        <f t="shared" si="12"/>
        <v>100</v>
      </c>
      <c r="T41" s="717" t="s">
        <v>21</v>
      </c>
      <c r="U41" s="718">
        <f t="shared" si="13"/>
        <v>100</v>
      </c>
      <c r="V41" s="717" t="s">
        <v>21</v>
      </c>
      <c r="W41" s="718">
        <f t="shared" si="14"/>
        <v>100</v>
      </c>
      <c r="X41" s="719"/>
      <c r="Y41" s="3272"/>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70"/>
      <c r="Q42" s="1538" t="str">
        <f t="shared" si="11"/>
        <v>内部装修</v>
      </c>
      <c r="R42" s="714" t="s">
        <v>21</v>
      </c>
      <c r="S42" s="715">
        <f t="shared" si="12"/>
        <v>100</v>
      </c>
      <c r="T42" s="714" t="s">
        <v>21</v>
      </c>
      <c r="U42" s="715">
        <f t="shared" si="13"/>
        <v>100</v>
      </c>
      <c r="V42" s="714" t="s">
        <v>21</v>
      </c>
      <c r="W42" s="715">
        <f t="shared" si="14"/>
        <v>100</v>
      </c>
      <c r="X42" s="1541"/>
      <c r="Y42" s="3272"/>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70"/>
      <c r="Q43" s="1538" t="str">
        <f t="shared" si="11"/>
        <v>内部装修维护情况</v>
      </c>
      <c r="R43" s="714" t="s">
        <v>21</v>
      </c>
      <c r="S43" s="715">
        <f t="shared" si="12"/>
        <v>100</v>
      </c>
      <c r="T43" s="714" t="s">
        <v>21</v>
      </c>
      <c r="U43" s="715">
        <f t="shared" si="13"/>
        <v>100</v>
      </c>
      <c r="V43" s="714" t="s">
        <v>21</v>
      </c>
      <c r="W43" s="715">
        <f t="shared" si="14"/>
        <v>100</v>
      </c>
      <c r="X43" s="1541"/>
      <c r="Y43" s="3272"/>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70"/>
      <c r="Q44" s="1529">
        <f t="shared" si="11"/>
        <v>111</v>
      </c>
      <c r="R44" s="710" t="s">
        <v>21</v>
      </c>
      <c r="S44" s="711">
        <f t="shared" si="12"/>
        <v>100</v>
      </c>
      <c r="T44" s="710" t="s">
        <v>21</v>
      </c>
      <c r="U44" s="711">
        <f t="shared" si="13"/>
        <v>100</v>
      </c>
      <c r="V44" s="710" t="s">
        <v>21</v>
      </c>
      <c r="W44" s="711">
        <f t="shared" si="14"/>
        <v>100</v>
      </c>
      <c r="X44" s="712"/>
      <c r="Y44" s="327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70"/>
      <c r="Q45" s="1538">
        <f t="shared" si="11"/>
        <v>111</v>
      </c>
      <c r="R45" s="714" t="s">
        <v>21</v>
      </c>
      <c r="S45" s="715">
        <f t="shared" si="12"/>
        <v>100</v>
      </c>
      <c r="T45" s="714" t="s">
        <v>21</v>
      </c>
      <c r="U45" s="715">
        <f t="shared" si="13"/>
        <v>100</v>
      </c>
      <c r="V45" s="714" t="s">
        <v>21</v>
      </c>
      <c r="W45" s="715">
        <f t="shared" si="14"/>
        <v>100</v>
      </c>
      <c r="X45" s="1541"/>
      <c r="Y45" s="3272"/>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271"/>
      <c r="Q46" s="1538">
        <f t="shared" si="11"/>
        <v>111</v>
      </c>
      <c r="R46" s="714" t="s">
        <v>20</v>
      </c>
      <c r="S46" s="715">
        <f t="shared" si="12"/>
        <v>100</v>
      </c>
      <c r="T46" s="714" t="s">
        <v>20</v>
      </c>
      <c r="U46" s="715">
        <f t="shared" si="13"/>
        <v>100</v>
      </c>
      <c r="V46" s="714" t="s">
        <v>20</v>
      </c>
      <c r="W46" s="715">
        <f t="shared" si="14"/>
        <v>100</v>
      </c>
      <c r="X46" s="1541"/>
      <c r="Y46" s="3273"/>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2"/>
      <c r="M47" s="2953"/>
      <c r="N47" s="2944"/>
      <c r="O47" s="2953"/>
      <c r="P47" s="3265" t="str">
        <f>A47</f>
        <v>成交单价（元/平方米）</v>
      </c>
      <c r="Q47" s="3265"/>
      <c r="R47" s="3266">
        <f>E47</f>
        <v>0</v>
      </c>
      <c r="S47" s="3266"/>
      <c r="T47" s="3266">
        <f>G47</f>
        <v>0</v>
      </c>
      <c r="U47" s="3266"/>
      <c r="V47" s="3266">
        <f>I47</f>
        <v>0</v>
      </c>
      <c r="W47" s="3266"/>
      <c r="X47" s="699"/>
      <c r="Y47" s="721"/>
      <c r="Z47" s="699"/>
      <c r="AA47" s="699"/>
      <c r="AB47" s="699"/>
      <c r="AC47" s="699"/>
    </row>
    <row r="48" spans="1:29" ht="15.75" thickBot="1">
      <c r="A48" s="445" t="s">
        <v>2399</v>
      </c>
      <c r="B48" s="446"/>
      <c r="C48" s="1322" t="e">
        <f>R49</f>
        <v>#DIV/0!</v>
      </c>
      <c r="D48" s="2540" t="s">
        <v>2881</v>
      </c>
      <c r="E48" s="1323" t="e">
        <f>R48</f>
        <v>#DIV/0!</v>
      </c>
      <c r="F48" s="2541"/>
      <c r="G48" s="1322" t="e">
        <f>T48</f>
        <v>#DIV/0!</v>
      </c>
      <c r="H48" s="2541"/>
      <c r="I48" s="1323" t="e">
        <f>V48</f>
        <v>#DIV/0!</v>
      </c>
      <c r="J48" s="2541"/>
      <c r="K48" s="2542">
        <f>F48+H48+J48</f>
        <v>0</v>
      </c>
      <c r="L48" s="2952"/>
      <c r="M48" s="2953"/>
      <c r="N48" s="2953"/>
      <c r="O48" s="2953"/>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2"/>
      <c r="M49" s="2953"/>
      <c r="N49" s="2953"/>
      <c r="O49" s="2953"/>
      <c r="P49" s="3262" t="str">
        <f>A49</f>
        <v>估价对象XX用房的比较价值（楼面单价，元/平方米）</v>
      </c>
      <c r="Q49" s="3263"/>
      <c r="R49" s="3264" t="e">
        <f>IF(F1="售价",ROUND(IF(D48="简单平均",AVERAGE(R48:V48),R48*F48+T48*H48+V48*J48),0),ROUND(IF(D48="简单平均",AVERAGE(R48:V48),R48*F48+T48*H48+V48*J48),1))</f>
        <v>#DIV/0!</v>
      </c>
      <c r="S49" s="3264"/>
      <c r="T49" s="3264"/>
      <c r="U49" s="3264"/>
      <c r="V49" s="3264"/>
      <c r="W49" s="32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622.69000000000005</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2466</v>
      </c>
      <c r="B4" s="362"/>
      <c r="C4" s="3280" t="s">
        <v>2467</v>
      </c>
      <c r="D4" s="3281"/>
      <c r="E4" s="3282" t="s">
        <v>2468</v>
      </c>
      <c r="F4" s="3283"/>
      <c r="G4" s="3280" t="s">
        <v>2469</v>
      </c>
      <c r="H4" s="3281"/>
      <c r="I4" s="3280" t="s">
        <v>2470</v>
      </c>
      <c r="J4" s="3281"/>
      <c r="K4" s="567" t="s">
        <v>2471</v>
      </c>
      <c r="L4" s="2943"/>
      <c r="M4" s="2944"/>
      <c r="N4" s="2944"/>
      <c r="O4" s="2944"/>
      <c r="P4" s="3284" t="s">
        <v>2472</v>
      </c>
      <c r="Q4" s="3285"/>
      <c r="R4" s="3290" t="s">
        <v>2468</v>
      </c>
      <c r="S4" s="3291"/>
      <c r="T4" s="3290" t="s">
        <v>2469</v>
      </c>
      <c r="U4" s="3291"/>
      <c r="V4" s="3296" t="s">
        <v>2470</v>
      </c>
      <c r="W4" s="3296"/>
      <c r="X4" s="1541"/>
      <c r="Y4" s="3290" t="s">
        <v>2472</v>
      </c>
      <c r="Z4" s="3291"/>
      <c r="AA4" s="3277" t="s">
        <v>2468</v>
      </c>
      <c r="AB4" s="3296" t="s">
        <v>2469</v>
      </c>
      <c r="AC4" s="3277" t="s">
        <v>2470</v>
      </c>
    </row>
    <row r="5" spans="1:29" ht="15">
      <c r="A5" s="364"/>
      <c r="B5" s="365"/>
      <c r="C5" s="3299" t="s">
        <v>2363</v>
      </c>
      <c r="D5" s="3300"/>
      <c r="E5" s="3306" t="s">
        <v>2364</v>
      </c>
      <c r="F5" s="3307"/>
      <c r="G5" s="3299" t="s">
        <v>2365</v>
      </c>
      <c r="H5" s="3300"/>
      <c r="I5" s="3299" t="s">
        <v>2366</v>
      </c>
      <c r="J5" s="3300"/>
      <c r="K5" s="567"/>
      <c r="L5" s="2943"/>
      <c r="M5" s="2944"/>
      <c r="N5" s="2944"/>
      <c r="O5" s="2944"/>
      <c r="P5" s="3286"/>
      <c r="Q5" s="3287"/>
      <c r="R5" s="3292"/>
      <c r="S5" s="3293"/>
      <c r="T5" s="3292"/>
      <c r="U5" s="3293"/>
      <c r="V5" s="3296"/>
      <c r="W5" s="3296"/>
      <c r="X5" s="1541"/>
      <c r="Y5" s="3292"/>
      <c r="Z5" s="3293"/>
      <c r="AA5" s="3278"/>
      <c r="AB5" s="3296"/>
      <c r="AC5" s="3278"/>
    </row>
    <row r="6" spans="1:29" ht="15.75" thickBot="1">
      <c r="A6" s="366"/>
      <c r="B6" s="367"/>
      <c r="C6" s="3297" t="s">
        <v>2367</v>
      </c>
      <c r="D6" s="3298"/>
      <c r="E6" s="3304" t="s">
        <v>2367</v>
      </c>
      <c r="F6" s="3305"/>
      <c r="G6" s="3297" t="s">
        <v>2367</v>
      </c>
      <c r="H6" s="3298"/>
      <c r="I6" s="3297" t="s">
        <v>2367</v>
      </c>
      <c r="J6" s="3298"/>
      <c r="K6" s="567" t="s">
        <v>2368</v>
      </c>
      <c r="L6" s="2943"/>
      <c r="M6" s="2944"/>
      <c r="N6" s="2944"/>
      <c r="O6" s="2944"/>
      <c r="P6" s="3288"/>
      <c r="Q6" s="3289"/>
      <c r="R6" s="3292"/>
      <c r="S6" s="3293"/>
      <c r="T6" s="3294"/>
      <c r="U6" s="3295"/>
      <c r="V6" s="3296"/>
      <c r="W6" s="3296"/>
      <c r="X6" s="1541"/>
      <c r="Y6" s="3294"/>
      <c r="Z6" s="3295"/>
      <c r="AA6" s="3279"/>
      <c r="AB6" s="3296"/>
      <c r="AC6" s="3279"/>
    </row>
    <row r="7" spans="1:29" s="113" customFormat="1" ht="15.75" thickBot="1">
      <c r="A7" s="368" t="s">
        <v>2369</v>
      </c>
      <c r="B7" s="369"/>
      <c r="C7" s="370">
        <f>'数据-取费表'!B2</f>
        <v>44187</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76"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76"/>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76"/>
      <c r="Q11" s="1529" t="str">
        <f t="shared" si="6"/>
        <v>容积率</v>
      </c>
      <c r="R11" s="710" t="s">
        <v>17</v>
      </c>
      <c r="S11" s="711" t="e">
        <f t="shared" si="0"/>
        <v>#N/A</v>
      </c>
      <c r="T11" s="710" t="s">
        <v>17</v>
      </c>
      <c r="U11" s="711" t="e">
        <f t="shared" si="1"/>
        <v>#N/A</v>
      </c>
      <c r="V11" s="710" t="s">
        <v>17</v>
      </c>
      <c r="W11" s="711" t="e">
        <f t="shared" si="2"/>
        <v>#N/A</v>
      </c>
      <c r="X11" s="712"/>
      <c r="Y11" s="313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76"/>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76"/>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76"/>
      <c r="Q14" s="1529">
        <f t="shared" si="6"/>
        <v>111</v>
      </c>
      <c r="R14" s="710" t="s">
        <v>17</v>
      </c>
      <c r="S14" s="711">
        <f t="shared" si="0"/>
        <v>100</v>
      </c>
      <c r="T14" s="710" t="s">
        <v>17</v>
      </c>
      <c r="U14" s="711">
        <f t="shared" si="1"/>
        <v>100</v>
      </c>
      <c r="V14" s="710" t="s">
        <v>17</v>
      </c>
      <c r="W14" s="711">
        <f t="shared" si="2"/>
        <v>100</v>
      </c>
      <c r="X14" s="712"/>
      <c r="Y14" s="3135"/>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74" t="s">
        <v>2381</v>
      </c>
      <c r="Q15" s="1538" t="str">
        <f t="shared" si="6"/>
        <v>商业繁华度</v>
      </c>
      <c r="R15" s="714" t="s">
        <v>17</v>
      </c>
      <c r="S15" s="715">
        <f t="shared" si="0"/>
        <v>100</v>
      </c>
      <c r="T15" s="714" t="s">
        <v>17</v>
      </c>
      <c r="U15" s="715">
        <f t="shared" si="1"/>
        <v>100</v>
      </c>
      <c r="V15" s="714" t="s">
        <v>17</v>
      </c>
      <c r="W15" s="715">
        <f t="shared" si="2"/>
        <v>100</v>
      </c>
      <c r="X15" s="1541"/>
      <c r="Y15" s="3267"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275"/>
      <c r="Q16" s="1538"/>
      <c r="R16" s="714"/>
      <c r="S16" s="715"/>
      <c r="T16" s="714"/>
      <c r="U16" s="715"/>
      <c r="V16" s="714"/>
      <c r="W16" s="715"/>
      <c r="X16" s="1541"/>
      <c r="Y16" s="3268"/>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75"/>
      <c r="Q17" s="1538" t="str">
        <f>B17</f>
        <v>交通便捷度</v>
      </c>
      <c r="R17" s="714" t="s">
        <v>17</v>
      </c>
      <c r="S17" s="715">
        <f>F17</f>
        <v>100</v>
      </c>
      <c r="T17" s="714" t="s">
        <v>17</v>
      </c>
      <c r="U17" s="715">
        <f>H17</f>
        <v>100</v>
      </c>
      <c r="V17" s="714" t="s">
        <v>17</v>
      </c>
      <c r="W17" s="715">
        <f>J17</f>
        <v>100</v>
      </c>
      <c r="X17" s="1541"/>
      <c r="Y17" s="326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0"/>
      <c r="M18" s="2944"/>
      <c r="N18" s="2944"/>
      <c r="O18" s="2944"/>
      <c r="P18" s="3275"/>
      <c r="Q18" s="1538"/>
      <c r="R18" s="714"/>
      <c r="S18" s="715"/>
      <c r="T18" s="714"/>
      <c r="U18" s="715"/>
      <c r="V18" s="714"/>
      <c r="W18" s="715"/>
      <c r="X18" s="1541"/>
      <c r="Y18" s="3268"/>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75"/>
      <c r="Q19" s="1538" t="str">
        <f>B19</f>
        <v>公共配套设施</v>
      </c>
      <c r="R19" s="714" t="s">
        <v>17</v>
      </c>
      <c r="S19" s="715">
        <f>F19</f>
        <v>100</v>
      </c>
      <c r="T19" s="714" t="s">
        <v>17</v>
      </c>
      <c r="U19" s="715">
        <f>H19</f>
        <v>100</v>
      </c>
      <c r="V19" s="714" t="s">
        <v>17</v>
      </c>
      <c r="W19" s="715">
        <f>J19</f>
        <v>100</v>
      </c>
      <c r="X19" s="1541"/>
      <c r="Y19" s="326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0"/>
      <c r="M20" s="2944"/>
      <c r="N20" s="2944"/>
      <c r="O20" s="2944"/>
      <c r="P20" s="3275"/>
      <c r="Q20" s="1538"/>
      <c r="R20" s="714"/>
      <c r="S20" s="715"/>
      <c r="T20" s="714"/>
      <c r="U20" s="715"/>
      <c r="V20" s="714"/>
      <c r="W20" s="715"/>
      <c r="X20" s="1541"/>
      <c r="Y20" s="3268"/>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75"/>
      <c r="Q21" s="1538" t="str">
        <f>B21</f>
        <v>基础设施水平</v>
      </c>
      <c r="R21" s="714" t="s">
        <v>17</v>
      </c>
      <c r="S21" s="715">
        <f>F21</f>
        <v>100</v>
      </c>
      <c r="T21" s="714" t="s">
        <v>17</v>
      </c>
      <c r="U21" s="715">
        <f>H21</f>
        <v>100</v>
      </c>
      <c r="V21" s="714" t="s">
        <v>17</v>
      </c>
      <c r="W21" s="715">
        <f>J21</f>
        <v>100</v>
      </c>
      <c r="X21" s="1541"/>
      <c r="Y21" s="326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0"/>
      <c r="M22" s="2944"/>
      <c r="N22" s="2944"/>
      <c r="O22" s="2944"/>
      <c r="P22" s="3275"/>
      <c r="Q22" s="1538"/>
      <c r="R22" s="714"/>
      <c r="S22" s="715"/>
      <c r="T22" s="714"/>
      <c r="U22" s="715"/>
      <c r="V22" s="714"/>
      <c r="W22" s="715"/>
      <c r="X22" s="1541"/>
      <c r="Y22" s="3268"/>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75"/>
      <c r="Q23" s="1538" t="str">
        <f>B23</f>
        <v>自然及人文环境</v>
      </c>
      <c r="R23" s="714" t="s">
        <v>17</v>
      </c>
      <c r="S23" s="715">
        <f>F23</f>
        <v>100</v>
      </c>
      <c r="T23" s="714" t="s">
        <v>17</v>
      </c>
      <c r="U23" s="715">
        <f>H23</f>
        <v>100</v>
      </c>
      <c r="V23" s="714" t="s">
        <v>17</v>
      </c>
      <c r="W23" s="715">
        <f>J23</f>
        <v>100</v>
      </c>
      <c r="X23" s="1541"/>
      <c r="Y23" s="3268"/>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0"/>
      <c r="M24" s="2944"/>
      <c r="N24" s="2944"/>
      <c r="O24" s="2944"/>
      <c r="P24" s="3275"/>
      <c r="Q24" s="1538"/>
      <c r="R24" s="714"/>
      <c r="S24" s="715"/>
      <c r="T24" s="714"/>
      <c r="U24" s="715"/>
      <c r="V24" s="714"/>
      <c r="W24" s="715"/>
      <c r="X24" s="1541"/>
      <c r="Y24" s="3268"/>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75"/>
      <c r="Q25" s="1538" t="str">
        <f t="shared" ref="Q25:Q46" si="11">B25</f>
        <v>临街状况</v>
      </c>
      <c r="R25" s="714" t="s">
        <v>17</v>
      </c>
      <c r="S25" s="715">
        <f>F25</f>
        <v>100</v>
      </c>
      <c r="T25" s="714" t="s">
        <v>17</v>
      </c>
      <c r="U25" s="715">
        <f>H25</f>
        <v>100</v>
      </c>
      <c r="V25" s="714" t="s">
        <v>17</v>
      </c>
      <c r="W25" s="715">
        <f>J25</f>
        <v>100</v>
      </c>
      <c r="X25" s="1541"/>
      <c r="Y25" s="3268"/>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75"/>
      <c r="Q26" s="1538" t="str">
        <f t="shared" si="11"/>
        <v>平面位置/可视性</v>
      </c>
      <c r="R26" s="714" t="s">
        <v>17</v>
      </c>
      <c r="S26" s="715">
        <f>F26</f>
        <v>100</v>
      </c>
      <c r="T26" s="714" t="s">
        <v>17</v>
      </c>
      <c r="U26" s="715">
        <f>H26</f>
        <v>100</v>
      </c>
      <c r="V26" s="714" t="s">
        <v>17</v>
      </c>
      <c r="W26" s="715">
        <f>J26</f>
        <v>100</v>
      </c>
      <c r="X26" s="1541"/>
      <c r="Y26" s="3268"/>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5"/>
      <c r="M27" s="2946"/>
      <c r="N27" s="2946"/>
      <c r="O27" s="2946"/>
      <c r="P27" s="3275"/>
      <c r="Q27" s="1529" t="str">
        <f t="shared" si="11"/>
        <v>人流量</v>
      </c>
      <c r="R27" s="710" t="s">
        <v>17</v>
      </c>
      <c r="S27" s="711">
        <f>F27</f>
        <v>100</v>
      </c>
      <c r="T27" s="710" t="s">
        <v>17</v>
      </c>
      <c r="U27" s="711">
        <f>H27</f>
        <v>100</v>
      </c>
      <c r="V27" s="710" t="s">
        <v>17</v>
      </c>
      <c r="W27" s="711">
        <f>J27</f>
        <v>100</v>
      </c>
      <c r="X27" s="712"/>
      <c r="Y27" s="3268"/>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75"/>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68"/>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75"/>
      <c r="Q29" s="1538">
        <f t="shared" si="11"/>
        <v>111</v>
      </c>
      <c r="R29" s="714" t="s">
        <v>17</v>
      </c>
      <c r="S29" s="715">
        <f t="shared" si="12"/>
        <v>100</v>
      </c>
      <c r="T29" s="714" t="s">
        <v>17</v>
      </c>
      <c r="U29" s="715">
        <f t="shared" si="13"/>
        <v>100</v>
      </c>
      <c r="V29" s="714" t="s">
        <v>17</v>
      </c>
      <c r="W29" s="715">
        <f t="shared" si="14"/>
        <v>100</v>
      </c>
      <c r="X29" s="1541"/>
      <c r="Y29" s="3268"/>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75"/>
      <c r="Q30" s="1538">
        <f t="shared" si="11"/>
        <v>111</v>
      </c>
      <c r="R30" s="714" t="s">
        <v>17</v>
      </c>
      <c r="S30" s="715">
        <f t="shared" si="12"/>
        <v>100</v>
      </c>
      <c r="T30" s="714" t="s">
        <v>17</v>
      </c>
      <c r="U30" s="715">
        <f t="shared" si="13"/>
        <v>100</v>
      </c>
      <c r="V30" s="714" t="s">
        <v>17</v>
      </c>
      <c r="W30" s="715">
        <f t="shared" si="14"/>
        <v>100</v>
      </c>
      <c r="X30" s="1541"/>
      <c r="Y30" s="3268"/>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75"/>
      <c r="Q31" s="1538">
        <f t="shared" si="11"/>
        <v>111</v>
      </c>
      <c r="R31" s="714" t="s">
        <v>17</v>
      </c>
      <c r="S31" s="715">
        <f t="shared" si="12"/>
        <v>100</v>
      </c>
      <c r="T31" s="714" t="s">
        <v>17</v>
      </c>
      <c r="U31" s="715">
        <f t="shared" si="13"/>
        <v>100</v>
      </c>
      <c r="V31" s="714" t="s">
        <v>17</v>
      </c>
      <c r="W31" s="715">
        <f t="shared" si="14"/>
        <v>100</v>
      </c>
      <c r="X31" s="1541"/>
      <c r="Y31" s="3268"/>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0"/>
      <c r="M32" s="2944"/>
      <c r="N32" s="2944"/>
      <c r="O32" s="2944"/>
      <c r="P32" s="3269" t="s">
        <v>2386</v>
      </c>
      <c r="Q32" s="1538" t="str">
        <f t="shared" si="11"/>
        <v>商业类型</v>
      </c>
      <c r="R32" s="714" t="s">
        <v>17</v>
      </c>
      <c r="S32" s="715">
        <f t="shared" si="12"/>
        <v>100</v>
      </c>
      <c r="T32" s="714" t="s">
        <v>17</v>
      </c>
      <c r="U32" s="715">
        <f t="shared" si="13"/>
        <v>100</v>
      </c>
      <c r="V32" s="714" t="s">
        <v>17</v>
      </c>
      <c r="W32" s="715">
        <f t="shared" si="14"/>
        <v>100</v>
      </c>
      <c r="X32" s="1541"/>
      <c r="Y32" s="3272"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70"/>
      <c r="Q33" s="716" t="str">
        <f t="shared" si="11"/>
        <v>项目建筑规模</v>
      </c>
      <c r="R33" s="717" t="s">
        <v>17</v>
      </c>
      <c r="S33" s="718" t="e">
        <f t="shared" si="12"/>
        <v>#N/A</v>
      </c>
      <c r="T33" s="717" t="s">
        <v>17</v>
      </c>
      <c r="U33" s="718" t="e">
        <f t="shared" si="13"/>
        <v>#N/A</v>
      </c>
      <c r="V33" s="717" t="s">
        <v>17</v>
      </c>
      <c r="W33" s="718" t="e">
        <f t="shared" si="14"/>
        <v>#N/A</v>
      </c>
      <c r="X33" s="719"/>
      <c r="Y33" s="3272"/>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0"/>
      <c r="M34" s="2944"/>
      <c r="N34" s="2944"/>
      <c r="O34" s="2944"/>
      <c r="P34" s="3270"/>
      <c r="Q34" s="1538" t="str">
        <f t="shared" si="11"/>
        <v>建筑结构</v>
      </c>
      <c r="R34" s="714" t="s">
        <v>17</v>
      </c>
      <c r="S34" s="715">
        <f t="shared" si="12"/>
        <v>100</v>
      </c>
      <c r="T34" s="714" t="s">
        <v>17</v>
      </c>
      <c r="U34" s="715">
        <f t="shared" si="13"/>
        <v>100</v>
      </c>
      <c r="V34" s="714" t="s">
        <v>17</v>
      </c>
      <c r="W34" s="715">
        <f t="shared" si="14"/>
        <v>100</v>
      </c>
      <c r="X34" s="1541"/>
      <c r="Y34" s="3272"/>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0"/>
      <c r="M35" s="2944"/>
      <c r="N35" s="2944"/>
      <c r="O35" s="2944"/>
      <c r="P35" s="3270"/>
      <c r="Q35" s="1538" t="str">
        <f t="shared" si="11"/>
        <v>公共部分装修</v>
      </c>
      <c r="R35" s="714" t="s">
        <v>17</v>
      </c>
      <c r="S35" s="715">
        <f t="shared" si="12"/>
        <v>100</v>
      </c>
      <c r="T35" s="714" t="s">
        <v>17</v>
      </c>
      <c r="U35" s="715">
        <f t="shared" si="13"/>
        <v>100</v>
      </c>
      <c r="V35" s="714" t="s">
        <v>17</v>
      </c>
      <c r="W35" s="715">
        <f t="shared" si="14"/>
        <v>100</v>
      </c>
      <c r="X35" s="1541"/>
      <c r="Y35" s="3272"/>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70"/>
      <c r="Q36" s="1538" t="str">
        <f t="shared" si="11"/>
        <v>成新度</v>
      </c>
      <c r="R36" s="714" t="s">
        <v>17</v>
      </c>
      <c r="S36" s="715" t="e">
        <f t="shared" si="12"/>
        <v>#N/A</v>
      </c>
      <c r="T36" s="714" t="s">
        <v>17</v>
      </c>
      <c r="U36" s="715" t="e">
        <f t="shared" si="13"/>
        <v>#N/A</v>
      </c>
      <c r="V36" s="714" t="s">
        <v>17</v>
      </c>
      <c r="W36" s="715" t="e">
        <f t="shared" si="14"/>
        <v>#N/A</v>
      </c>
      <c r="X36" s="1541"/>
      <c r="Y36" s="3272"/>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5"/>
      <c r="M37" s="2946"/>
      <c r="N37" s="2946"/>
      <c r="O37" s="2946"/>
      <c r="P37" s="3270"/>
      <c r="Q37" s="1529" t="str">
        <f t="shared" si="11"/>
        <v>市政基础设施</v>
      </c>
      <c r="R37" s="710" t="s">
        <v>17</v>
      </c>
      <c r="S37" s="711">
        <f t="shared" si="12"/>
        <v>100</v>
      </c>
      <c r="T37" s="710" t="s">
        <v>17</v>
      </c>
      <c r="U37" s="711">
        <f t="shared" si="13"/>
        <v>100</v>
      </c>
      <c r="V37" s="710" t="s">
        <v>17</v>
      </c>
      <c r="W37" s="711">
        <f t="shared" si="14"/>
        <v>100</v>
      </c>
      <c r="X37" s="712"/>
      <c r="Y37" s="3272"/>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0"/>
      <c r="M38" s="2944"/>
      <c r="N38" s="2944"/>
      <c r="O38" s="2944"/>
      <c r="P38" s="3270" t="s">
        <v>2386</v>
      </c>
      <c r="Q38" s="1538" t="str">
        <f t="shared" si="11"/>
        <v>业态</v>
      </c>
      <c r="R38" s="714" t="s">
        <v>17</v>
      </c>
      <c r="S38" s="715">
        <f t="shared" si="12"/>
        <v>100</v>
      </c>
      <c r="T38" s="714" t="s">
        <v>17</v>
      </c>
      <c r="U38" s="715">
        <f t="shared" si="13"/>
        <v>100</v>
      </c>
      <c r="V38" s="714" t="s">
        <v>17</v>
      </c>
      <c r="W38" s="715">
        <f t="shared" si="14"/>
        <v>100</v>
      </c>
      <c r="X38" s="1541"/>
      <c r="Y38" s="3272"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0"/>
      <c r="M39" s="2944"/>
      <c r="N39" s="2944"/>
      <c r="O39" s="2944"/>
      <c r="P39" s="3270"/>
      <c r="Q39" s="1538" t="str">
        <f t="shared" si="11"/>
        <v>层高</v>
      </c>
      <c r="R39" s="714" t="s">
        <v>17</v>
      </c>
      <c r="S39" s="715">
        <f t="shared" si="12"/>
        <v>100</v>
      </c>
      <c r="T39" s="714" t="s">
        <v>17</v>
      </c>
      <c r="U39" s="715">
        <f t="shared" si="13"/>
        <v>100</v>
      </c>
      <c r="V39" s="714" t="s">
        <v>17</v>
      </c>
      <c r="W39" s="715">
        <f t="shared" si="14"/>
        <v>100</v>
      </c>
      <c r="X39" s="1541"/>
      <c r="Y39" s="3272"/>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70"/>
      <c r="Q40" s="1538" t="str">
        <f t="shared" si="11"/>
        <v>单套建筑面积</v>
      </c>
      <c r="R40" s="714" t="s">
        <v>17</v>
      </c>
      <c r="S40" s="715">
        <f t="shared" si="12"/>
        <v>100</v>
      </c>
      <c r="T40" s="714" t="s">
        <v>17</v>
      </c>
      <c r="U40" s="715">
        <f t="shared" si="13"/>
        <v>100</v>
      </c>
      <c r="V40" s="714" t="s">
        <v>17</v>
      </c>
      <c r="W40" s="715">
        <f t="shared" si="14"/>
        <v>100</v>
      </c>
      <c r="X40" s="1541"/>
      <c r="Y40" s="3272"/>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70"/>
      <c r="Q41" s="716" t="str">
        <f t="shared" si="11"/>
        <v>进深比</v>
      </c>
      <c r="R41" s="717" t="s">
        <v>17</v>
      </c>
      <c r="S41" s="718">
        <f t="shared" si="12"/>
        <v>100</v>
      </c>
      <c r="T41" s="717" t="s">
        <v>17</v>
      </c>
      <c r="U41" s="718">
        <f t="shared" si="13"/>
        <v>100</v>
      </c>
      <c r="V41" s="717" t="s">
        <v>17</v>
      </c>
      <c r="W41" s="718">
        <f t="shared" si="14"/>
        <v>100</v>
      </c>
      <c r="X41" s="719"/>
      <c r="Y41" s="3272"/>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0"/>
      <c r="M42" s="2944"/>
      <c r="N42" s="2944"/>
      <c r="O42" s="2944"/>
      <c r="P42" s="3270"/>
      <c r="Q42" s="1538" t="str">
        <f t="shared" si="11"/>
        <v>内部装修</v>
      </c>
      <c r="R42" s="714" t="s">
        <v>17</v>
      </c>
      <c r="S42" s="715">
        <f t="shared" si="12"/>
        <v>100</v>
      </c>
      <c r="T42" s="714" t="s">
        <v>17</v>
      </c>
      <c r="U42" s="715">
        <f t="shared" si="13"/>
        <v>100</v>
      </c>
      <c r="V42" s="714" t="s">
        <v>17</v>
      </c>
      <c r="W42" s="715">
        <f t="shared" si="14"/>
        <v>100</v>
      </c>
      <c r="X42" s="1541"/>
      <c r="Y42" s="3272"/>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0"/>
      <c r="M43" s="2944"/>
      <c r="N43" s="2944"/>
      <c r="O43" s="2944"/>
      <c r="P43" s="3270"/>
      <c r="Q43" s="1538" t="str">
        <f t="shared" si="11"/>
        <v>内部装修维护情况</v>
      </c>
      <c r="R43" s="714" t="s">
        <v>17</v>
      </c>
      <c r="S43" s="715">
        <f t="shared" si="12"/>
        <v>100</v>
      </c>
      <c r="T43" s="714" t="s">
        <v>17</v>
      </c>
      <c r="U43" s="715">
        <f t="shared" si="13"/>
        <v>100</v>
      </c>
      <c r="V43" s="714" t="s">
        <v>17</v>
      </c>
      <c r="W43" s="715">
        <f t="shared" si="14"/>
        <v>100</v>
      </c>
      <c r="X43" s="1541"/>
      <c r="Y43" s="3272"/>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70"/>
      <c r="Q44" s="1529">
        <f t="shared" si="11"/>
        <v>111</v>
      </c>
      <c r="R44" s="710" t="s">
        <v>17</v>
      </c>
      <c r="S44" s="711">
        <f t="shared" si="12"/>
        <v>100</v>
      </c>
      <c r="T44" s="710" t="s">
        <v>17</v>
      </c>
      <c r="U44" s="711">
        <f t="shared" si="13"/>
        <v>100</v>
      </c>
      <c r="V44" s="710" t="s">
        <v>17</v>
      </c>
      <c r="W44" s="711">
        <f t="shared" si="14"/>
        <v>100</v>
      </c>
      <c r="X44" s="712"/>
      <c r="Y44" s="327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70"/>
      <c r="Q45" s="1538">
        <f t="shared" si="11"/>
        <v>111</v>
      </c>
      <c r="R45" s="714" t="s">
        <v>17</v>
      </c>
      <c r="S45" s="715">
        <f t="shared" si="12"/>
        <v>100</v>
      </c>
      <c r="T45" s="714" t="s">
        <v>17</v>
      </c>
      <c r="U45" s="715">
        <f t="shared" si="13"/>
        <v>100</v>
      </c>
      <c r="V45" s="714" t="s">
        <v>17</v>
      </c>
      <c r="W45" s="715">
        <f t="shared" si="14"/>
        <v>100</v>
      </c>
      <c r="X45" s="1541"/>
      <c r="Y45" s="3272"/>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71"/>
      <c r="Q46" s="1538">
        <f t="shared" si="11"/>
        <v>111</v>
      </c>
      <c r="R46" s="714" t="s">
        <v>17</v>
      </c>
      <c r="S46" s="715">
        <f t="shared" si="12"/>
        <v>100</v>
      </c>
      <c r="T46" s="714" t="s">
        <v>17</v>
      </c>
      <c r="U46" s="715">
        <f t="shared" si="13"/>
        <v>100</v>
      </c>
      <c r="V46" s="714" t="s">
        <v>17</v>
      </c>
      <c r="W46" s="715">
        <f t="shared" si="14"/>
        <v>100</v>
      </c>
      <c r="X46" s="1541"/>
      <c r="Y46" s="3273"/>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2"/>
      <c r="M47" s="2953"/>
      <c r="N47" s="2944"/>
      <c r="O47" s="2953"/>
      <c r="P47" s="3265" t="str">
        <f>A47</f>
        <v>成交单价（元/平方米）</v>
      </c>
      <c r="Q47" s="3265"/>
      <c r="R47" s="3296">
        <f>E47</f>
        <v>0</v>
      </c>
      <c r="S47" s="3296"/>
      <c r="T47" s="3296">
        <f>G47</f>
        <v>0</v>
      </c>
      <c r="U47" s="3296"/>
      <c r="V47" s="3296">
        <f>I47</f>
        <v>0</v>
      </c>
      <c r="W47" s="3296"/>
      <c r="X47" s="699"/>
      <c r="Y47" s="721"/>
      <c r="Z47" s="699"/>
      <c r="AA47" s="699"/>
      <c r="AB47" s="699"/>
      <c r="AC47" s="699"/>
    </row>
    <row r="48" spans="1:29" ht="15.75" thickBot="1">
      <c r="A48" s="445" t="s">
        <v>2490</v>
      </c>
      <c r="B48" s="446"/>
      <c r="C48" s="1322" t="e">
        <f>R49</f>
        <v>#DIV/0!</v>
      </c>
      <c r="D48" s="2540" t="s">
        <v>2881</v>
      </c>
      <c r="E48" s="1323" t="e">
        <f>R48</f>
        <v>#DIV/0!</v>
      </c>
      <c r="F48" s="2541"/>
      <c r="G48" s="1322" t="e">
        <f>T48</f>
        <v>#DIV/0!</v>
      </c>
      <c r="H48" s="2541"/>
      <c r="I48" s="1323" t="e">
        <f>V48</f>
        <v>#DIV/0!</v>
      </c>
      <c r="J48" s="2541"/>
      <c r="K48" s="2543">
        <f>F48+H48+J48</f>
        <v>0</v>
      </c>
      <c r="L48" s="2952"/>
      <c r="M48" s="2953"/>
      <c r="N48" s="2944"/>
      <c r="O48" s="2953"/>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62" t="str">
        <f>A49</f>
        <v>估价对象XX用房的比较价值（楼面单价，元/平方米）</v>
      </c>
      <c r="Q49" s="3263"/>
      <c r="R49" s="3264" t="e">
        <f>IF(F1="售价",ROUND(IF(D48="简单平均",AVERAGE(R48:V48),R48*F48+T48*H48+V48*J48),0),ROUND(IF(D48="简单平均",AVERAGE(R48:V48),R48*F48+T48*H48+V48*J48),1))</f>
        <v>#DIV/0!</v>
      </c>
      <c r="S49" s="3264"/>
      <c r="T49" s="3264"/>
      <c r="U49" s="3264"/>
      <c r="V49" s="3264"/>
      <c r="W49" s="32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622.69000000000005</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80" t="s">
        <v>2467</v>
      </c>
      <c r="D4" s="3281"/>
      <c r="E4" s="3282" t="s">
        <v>2468</v>
      </c>
      <c r="F4" s="3283"/>
      <c r="G4" s="3280" t="s">
        <v>2469</v>
      </c>
      <c r="H4" s="3281"/>
      <c r="I4" s="3280" t="s">
        <v>2470</v>
      </c>
      <c r="J4" s="3281"/>
      <c r="K4" s="567" t="s">
        <v>2471</v>
      </c>
      <c r="L4" s="2943"/>
      <c r="M4" s="2944"/>
      <c r="N4" s="2944"/>
      <c r="O4" s="2944"/>
      <c r="P4" s="3314" t="s">
        <v>2472</v>
      </c>
      <c r="Q4" s="3315"/>
      <c r="R4" s="3318" t="s">
        <v>2468</v>
      </c>
      <c r="S4" s="3319"/>
      <c r="T4" s="3318" t="s">
        <v>2469</v>
      </c>
      <c r="U4" s="3319"/>
      <c r="V4" s="3320" t="s">
        <v>2470</v>
      </c>
      <c r="W4" s="3320"/>
      <c r="X4" s="2146"/>
      <c r="Y4" s="3318" t="s">
        <v>2472</v>
      </c>
      <c r="Z4" s="3319"/>
      <c r="AA4" s="3322" t="s">
        <v>2468</v>
      </c>
      <c r="AB4" s="3322" t="s">
        <v>2469</v>
      </c>
      <c r="AC4" s="3311" t="s">
        <v>2470</v>
      </c>
    </row>
    <row r="5" spans="1:29" ht="15">
      <c r="A5" s="364"/>
      <c r="B5" s="365"/>
      <c r="C5" s="3299" t="s">
        <v>2363</v>
      </c>
      <c r="D5" s="3300"/>
      <c r="E5" s="3306" t="s">
        <v>2364</v>
      </c>
      <c r="F5" s="3307"/>
      <c r="G5" s="3299" t="s">
        <v>2365</v>
      </c>
      <c r="H5" s="3300"/>
      <c r="I5" s="3299" t="s">
        <v>2366</v>
      </c>
      <c r="J5" s="3300"/>
      <c r="K5" s="567"/>
      <c r="L5" s="2943"/>
      <c r="M5" s="2944"/>
      <c r="N5" s="2944"/>
      <c r="O5" s="2944"/>
      <c r="P5" s="3316"/>
      <c r="Q5" s="3287"/>
      <c r="R5" s="3292"/>
      <c r="S5" s="3293"/>
      <c r="T5" s="3292"/>
      <c r="U5" s="3293"/>
      <c r="V5" s="3296"/>
      <c r="W5" s="3296"/>
      <c r="X5" s="1541"/>
      <c r="Y5" s="3292"/>
      <c r="Z5" s="3293"/>
      <c r="AA5" s="3278"/>
      <c r="AB5" s="3278"/>
      <c r="AC5" s="3312"/>
    </row>
    <row r="6" spans="1:29" ht="15.75" thickBot="1">
      <c r="A6" s="366"/>
      <c r="B6" s="367"/>
      <c r="C6" s="3297" t="s">
        <v>2367</v>
      </c>
      <c r="D6" s="3298"/>
      <c r="E6" s="3304" t="s">
        <v>2367</v>
      </c>
      <c r="F6" s="3305"/>
      <c r="G6" s="3297" t="s">
        <v>2367</v>
      </c>
      <c r="H6" s="3298"/>
      <c r="I6" s="3297" t="s">
        <v>2367</v>
      </c>
      <c r="J6" s="3298"/>
      <c r="K6" s="567" t="s">
        <v>2368</v>
      </c>
      <c r="L6" s="2943"/>
      <c r="M6" s="2944"/>
      <c r="N6" s="2944"/>
      <c r="O6" s="2944"/>
      <c r="P6" s="3317"/>
      <c r="Q6" s="3289"/>
      <c r="R6" s="3292"/>
      <c r="S6" s="3293"/>
      <c r="T6" s="3294"/>
      <c r="U6" s="3295"/>
      <c r="V6" s="3296"/>
      <c r="W6" s="3296"/>
      <c r="X6" s="1541"/>
      <c r="Y6" s="3294"/>
      <c r="Z6" s="3295"/>
      <c r="AA6" s="3279"/>
      <c r="AB6" s="3279"/>
      <c r="AC6" s="3313"/>
    </row>
    <row r="7" spans="1:29" s="113" customFormat="1" ht="15.75" thickBot="1">
      <c r="A7" s="368" t="s">
        <v>2369</v>
      </c>
      <c r="B7" s="369"/>
      <c r="C7" s="370">
        <f>'数据-取费表'!B2</f>
        <v>44187</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2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2147"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21" t="s">
        <v>2373</v>
      </c>
      <c r="Q8" s="3302"/>
      <c r="R8" s="710" t="s">
        <v>17</v>
      </c>
      <c r="S8" s="711">
        <f t="shared" si="0"/>
        <v>0</v>
      </c>
      <c r="T8" s="710" t="s">
        <v>17</v>
      </c>
      <c r="U8" s="711">
        <f t="shared" si="1"/>
        <v>0</v>
      </c>
      <c r="V8" s="710" t="s">
        <v>17</v>
      </c>
      <c r="W8" s="711">
        <f t="shared" si="2"/>
        <v>0</v>
      </c>
      <c r="X8" s="712"/>
      <c r="Y8" s="3301" t="s">
        <v>2373</v>
      </c>
      <c r="Z8" s="3302"/>
      <c r="AA8" s="713" t="e">
        <f t="shared" ref="AA8:AA47" si="3">D8/F8</f>
        <v>#DIV/0!</v>
      </c>
      <c r="AB8" s="713" t="e">
        <f t="shared" ref="AB8:AB47" si="4">D8/H8</f>
        <v>#DIV/0!</v>
      </c>
      <c r="AC8" s="2147"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76"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2147">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76"/>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76"/>
      <c r="Q11" s="1529" t="str">
        <f t="shared" si="6"/>
        <v>容积率</v>
      </c>
      <c r="R11" s="710" t="s">
        <v>17</v>
      </c>
      <c r="S11" s="711" t="e">
        <f t="shared" si="0"/>
        <v>#N/A</v>
      </c>
      <c r="T11" s="710" t="s">
        <v>17</v>
      </c>
      <c r="U11" s="711" t="e">
        <f t="shared" si="1"/>
        <v>#N/A</v>
      </c>
      <c r="V11" s="710" t="s">
        <v>17</v>
      </c>
      <c r="W11" s="711" t="e">
        <f t="shared" si="2"/>
        <v>#N/A</v>
      </c>
      <c r="X11" s="712"/>
      <c r="Y11" s="3135"/>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276"/>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276"/>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276"/>
      <c r="Q14" s="1529">
        <f t="shared" si="6"/>
        <v>111</v>
      </c>
      <c r="R14" s="710" t="s">
        <v>17</v>
      </c>
      <c r="S14" s="711">
        <f t="shared" si="0"/>
        <v>100</v>
      </c>
      <c r="T14" s="710" t="s">
        <v>17</v>
      </c>
      <c r="U14" s="711">
        <f t="shared" si="1"/>
        <v>100</v>
      </c>
      <c r="V14" s="710" t="s">
        <v>17</v>
      </c>
      <c r="W14" s="711">
        <f t="shared" si="2"/>
        <v>100</v>
      </c>
      <c r="X14" s="712"/>
      <c r="Y14" s="3135"/>
      <c r="Z14" s="55">
        <f t="shared" si="7"/>
        <v>111</v>
      </c>
      <c r="AA14" s="713">
        <f t="shared" si="3"/>
        <v>1</v>
      </c>
      <c r="AB14" s="713">
        <f t="shared" si="4"/>
        <v>1</v>
      </c>
      <c r="AC14" s="2147">
        <f t="shared" si="5"/>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74" t="s">
        <v>2381</v>
      </c>
      <c r="Q15" s="1538" t="str">
        <f t="shared" si="6"/>
        <v>办公集聚程度</v>
      </c>
      <c r="R15" s="714" t="s">
        <v>17</v>
      </c>
      <c r="S15" s="715">
        <f t="shared" si="0"/>
        <v>100</v>
      </c>
      <c r="T15" s="714" t="s">
        <v>17</v>
      </c>
      <c r="U15" s="715">
        <f t="shared" si="1"/>
        <v>100</v>
      </c>
      <c r="V15" s="714" t="s">
        <v>17</v>
      </c>
      <c r="W15" s="715">
        <f t="shared" si="2"/>
        <v>100</v>
      </c>
      <c r="X15" s="1541"/>
      <c r="Y15" s="3267"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0"/>
      <c r="M16" s="2944"/>
      <c r="N16" s="2944"/>
      <c r="O16" s="2944"/>
      <c r="P16" s="3275"/>
      <c r="Q16" s="1538"/>
      <c r="R16" s="714"/>
      <c r="S16" s="715"/>
      <c r="T16" s="714"/>
      <c r="U16" s="715"/>
      <c r="V16" s="714"/>
      <c r="W16" s="715"/>
      <c r="X16" s="1541"/>
      <c r="Y16" s="3268"/>
      <c r="Z16" s="1542"/>
      <c r="AA16" s="1539">
        <v>1</v>
      </c>
      <c r="AB16" s="1539">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75"/>
      <c r="Q17" s="1538" t="str">
        <f>B17</f>
        <v>交通便捷度</v>
      </c>
      <c r="R17" s="714" t="s">
        <v>17</v>
      </c>
      <c r="S17" s="715">
        <f>F17</f>
        <v>100</v>
      </c>
      <c r="T17" s="714" t="s">
        <v>17</v>
      </c>
      <c r="U17" s="715">
        <f>H17</f>
        <v>100</v>
      </c>
      <c r="V17" s="714" t="s">
        <v>17</v>
      </c>
      <c r="W17" s="715">
        <f>J17</f>
        <v>100</v>
      </c>
      <c r="X17" s="1541"/>
      <c r="Y17" s="3268"/>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0"/>
      <c r="M18" s="2944"/>
      <c r="N18" s="2944"/>
      <c r="O18" s="2944"/>
      <c r="P18" s="3275"/>
      <c r="Q18" s="1538"/>
      <c r="R18" s="714"/>
      <c r="S18" s="715"/>
      <c r="T18" s="714"/>
      <c r="U18" s="715"/>
      <c r="V18" s="714"/>
      <c r="W18" s="715"/>
      <c r="X18" s="1541"/>
      <c r="Y18" s="3268"/>
      <c r="Z18" s="1542"/>
      <c r="AA18" s="1539">
        <v>1</v>
      </c>
      <c r="AB18" s="1539">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75"/>
      <c r="Q19" s="1538" t="str">
        <f>B19</f>
        <v>公共配套设施</v>
      </c>
      <c r="R19" s="714" t="s">
        <v>17</v>
      </c>
      <c r="S19" s="715">
        <f>F19</f>
        <v>100</v>
      </c>
      <c r="T19" s="714" t="s">
        <v>17</v>
      </c>
      <c r="U19" s="715">
        <f>H19</f>
        <v>100</v>
      </c>
      <c r="V19" s="714" t="s">
        <v>17</v>
      </c>
      <c r="W19" s="715">
        <f>J19</f>
        <v>100</v>
      </c>
      <c r="X19" s="1541"/>
      <c r="Y19" s="3268"/>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0"/>
      <c r="M20" s="2944"/>
      <c r="N20" s="2944"/>
      <c r="O20" s="2944"/>
      <c r="P20" s="3275"/>
      <c r="Q20" s="1538"/>
      <c r="R20" s="714"/>
      <c r="S20" s="715"/>
      <c r="T20" s="714"/>
      <c r="U20" s="715"/>
      <c r="V20" s="714"/>
      <c r="W20" s="715"/>
      <c r="X20" s="1541"/>
      <c r="Y20" s="3268"/>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75"/>
      <c r="Q21" s="1538" t="str">
        <f>B21</f>
        <v>基础设施水平</v>
      </c>
      <c r="R21" s="714" t="s">
        <v>17</v>
      </c>
      <c r="S21" s="715">
        <f>F21</f>
        <v>100</v>
      </c>
      <c r="T21" s="714" t="s">
        <v>17</v>
      </c>
      <c r="U21" s="715">
        <f>H21</f>
        <v>100</v>
      </c>
      <c r="V21" s="714" t="s">
        <v>17</v>
      </c>
      <c r="W21" s="715">
        <f>J21</f>
        <v>100</v>
      </c>
      <c r="X21" s="1541"/>
      <c r="Y21" s="3268"/>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0"/>
      <c r="M22" s="2944"/>
      <c r="N22" s="2944"/>
      <c r="O22" s="2944"/>
      <c r="P22" s="3275"/>
      <c r="Q22" s="1538"/>
      <c r="R22" s="714"/>
      <c r="S22" s="715"/>
      <c r="T22" s="714"/>
      <c r="U22" s="715"/>
      <c r="V22" s="714"/>
      <c r="W22" s="715"/>
      <c r="X22" s="1541"/>
      <c r="Y22" s="3268"/>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75"/>
      <c r="Q23" s="1538" t="str">
        <f>B23</f>
        <v>环境质量</v>
      </c>
      <c r="R23" s="714" t="s">
        <v>17</v>
      </c>
      <c r="S23" s="715">
        <f>F23</f>
        <v>100</v>
      </c>
      <c r="T23" s="714" t="s">
        <v>17</v>
      </c>
      <c r="U23" s="715">
        <f>H23</f>
        <v>100</v>
      </c>
      <c r="V23" s="714" t="s">
        <v>17</v>
      </c>
      <c r="W23" s="715">
        <f>J23</f>
        <v>100</v>
      </c>
      <c r="X23" s="1541"/>
      <c r="Y23" s="3268"/>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0"/>
      <c r="M24" s="2944"/>
      <c r="N24" s="2944"/>
      <c r="O24" s="2944"/>
      <c r="P24" s="3275"/>
      <c r="Q24" s="1538"/>
      <c r="R24" s="714"/>
      <c r="S24" s="715"/>
      <c r="T24" s="714"/>
      <c r="U24" s="715"/>
      <c r="V24" s="714"/>
      <c r="W24" s="715"/>
      <c r="X24" s="1541"/>
      <c r="Y24" s="3268"/>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50"/>
      <c r="M25" s="2944"/>
      <c r="N25" s="2944"/>
      <c r="O25" s="2944"/>
      <c r="P25" s="3275"/>
      <c r="Q25" s="1538" t="str">
        <f>B25</f>
        <v>毗邻道路的类型与等级</v>
      </c>
      <c r="R25" s="714" t="s">
        <v>17</v>
      </c>
      <c r="S25" s="715">
        <f>F25</f>
        <v>100</v>
      </c>
      <c r="T25" s="714" t="s">
        <v>17</v>
      </c>
      <c r="U25" s="715">
        <f>H25</f>
        <v>100</v>
      </c>
      <c r="V25" s="714" t="s">
        <v>17</v>
      </c>
      <c r="W25" s="715">
        <f>J25</f>
        <v>100</v>
      </c>
      <c r="X25" s="1541"/>
      <c r="Y25" s="3268"/>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0"/>
      <c r="M26" s="2944"/>
      <c r="N26" s="2944"/>
      <c r="O26" s="2944"/>
      <c r="P26" s="3275"/>
      <c r="Q26" s="1538"/>
      <c r="R26" s="714"/>
      <c r="S26" s="715"/>
      <c r="T26" s="714"/>
      <c r="U26" s="715"/>
      <c r="V26" s="714"/>
      <c r="W26" s="715"/>
      <c r="X26" s="1541"/>
      <c r="Y26" s="3268"/>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275"/>
      <c r="Q27" s="1538" t="str">
        <f t="shared" ref="Q27:Q47" si="11">B27</f>
        <v>楼层</v>
      </c>
      <c r="R27" s="714" t="s">
        <v>17</v>
      </c>
      <c r="S27" s="715">
        <f>F27</f>
        <v>100</v>
      </c>
      <c r="T27" s="714" t="s">
        <v>17</v>
      </c>
      <c r="U27" s="715">
        <f>H27</f>
        <v>100</v>
      </c>
      <c r="V27" s="714" t="s">
        <v>17</v>
      </c>
      <c r="W27" s="715">
        <f>J27</f>
        <v>100</v>
      </c>
      <c r="X27" s="1541"/>
      <c r="Y27" s="3268"/>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5"/>
      <c r="M28" s="2946"/>
      <c r="N28" s="2946"/>
      <c r="O28" s="2946"/>
      <c r="P28" s="3275"/>
      <c r="Q28" s="1529" t="str">
        <f t="shared" si="11"/>
        <v>朝向</v>
      </c>
      <c r="R28" s="710" t="s">
        <v>17</v>
      </c>
      <c r="S28" s="711">
        <f>F28</f>
        <v>100</v>
      </c>
      <c r="T28" s="710" t="s">
        <v>17</v>
      </c>
      <c r="U28" s="711">
        <f>H28</f>
        <v>100</v>
      </c>
      <c r="V28" s="710" t="s">
        <v>17</v>
      </c>
      <c r="W28" s="711">
        <f>J28</f>
        <v>100</v>
      </c>
      <c r="X28" s="712"/>
      <c r="Y28" s="3268"/>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275"/>
      <c r="Q29" s="1538">
        <f t="shared" si="11"/>
        <v>111</v>
      </c>
      <c r="R29" s="714" t="s">
        <v>17</v>
      </c>
      <c r="S29" s="715">
        <f t="shared" ref="S29:S47" si="12">F29</f>
        <v>100</v>
      </c>
      <c r="T29" s="714" t="s">
        <v>17</v>
      </c>
      <c r="U29" s="715">
        <f t="shared" ref="U29:U47" si="13">H29</f>
        <v>100</v>
      </c>
      <c r="V29" s="714" t="s">
        <v>17</v>
      </c>
      <c r="W29" s="715">
        <f t="shared" ref="W29:W47" si="14">J29</f>
        <v>100</v>
      </c>
      <c r="X29" s="1541"/>
      <c r="Y29" s="3268"/>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275"/>
      <c r="Q30" s="1538">
        <f t="shared" si="11"/>
        <v>111</v>
      </c>
      <c r="R30" s="714" t="s">
        <v>17</v>
      </c>
      <c r="S30" s="715">
        <f t="shared" si="12"/>
        <v>100</v>
      </c>
      <c r="T30" s="714" t="s">
        <v>17</v>
      </c>
      <c r="U30" s="715">
        <f t="shared" si="13"/>
        <v>100</v>
      </c>
      <c r="V30" s="714" t="s">
        <v>17</v>
      </c>
      <c r="W30" s="715">
        <f t="shared" si="14"/>
        <v>100</v>
      </c>
      <c r="X30" s="1541"/>
      <c r="Y30" s="3268"/>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275"/>
      <c r="Q31" s="1538">
        <f t="shared" si="11"/>
        <v>111</v>
      </c>
      <c r="R31" s="714" t="s">
        <v>17</v>
      </c>
      <c r="S31" s="715">
        <f t="shared" si="12"/>
        <v>100</v>
      </c>
      <c r="T31" s="714" t="s">
        <v>17</v>
      </c>
      <c r="U31" s="715">
        <f t="shared" si="13"/>
        <v>100</v>
      </c>
      <c r="V31" s="714" t="s">
        <v>17</v>
      </c>
      <c r="W31" s="715">
        <f t="shared" si="14"/>
        <v>100</v>
      </c>
      <c r="X31" s="1541"/>
      <c r="Y31" s="326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275"/>
      <c r="Q32" s="1538">
        <f t="shared" si="11"/>
        <v>111</v>
      </c>
      <c r="R32" s="714" t="s">
        <v>17</v>
      </c>
      <c r="S32" s="715">
        <f t="shared" si="12"/>
        <v>100</v>
      </c>
      <c r="T32" s="714" t="s">
        <v>17</v>
      </c>
      <c r="U32" s="715">
        <f t="shared" si="13"/>
        <v>100</v>
      </c>
      <c r="V32" s="714" t="s">
        <v>17</v>
      </c>
      <c r="W32" s="715">
        <f t="shared" si="14"/>
        <v>100</v>
      </c>
      <c r="X32" s="1541"/>
      <c r="Y32" s="3268"/>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0"/>
      <c r="M33" s="2944"/>
      <c r="N33" s="2944"/>
      <c r="O33" s="2944"/>
      <c r="P33" s="3269" t="s">
        <v>2386</v>
      </c>
      <c r="Q33" s="1538" t="str">
        <f t="shared" si="11"/>
        <v>建筑类型</v>
      </c>
      <c r="R33" s="714" t="s">
        <v>17</v>
      </c>
      <c r="S33" s="715">
        <f t="shared" si="12"/>
        <v>100</v>
      </c>
      <c r="T33" s="714" t="s">
        <v>17</v>
      </c>
      <c r="U33" s="715">
        <f t="shared" si="13"/>
        <v>100</v>
      </c>
      <c r="V33" s="714" t="s">
        <v>17</v>
      </c>
      <c r="W33" s="715">
        <f t="shared" si="14"/>
        <v>100</v>
      </c>
      <c r="X33" s="1541"/>
      <c r="Y33" s="3272"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70"/>
      <c r="Q34" s="716" t="str">
        <f t="shared" si="11"/>
        <v>项目建筑规模</v>
      </c>
      <c r="R34" s="717" t="s">
        <v>17</v>
      </c>
      <c r="S34" s="718" t="e">
        <f t="shared" si="12"/>
        <v>#N/A</v>
      </c>
      <c r="T34" s="717" t="s">
        <v>17</v>
      </c>
      <c r="U34" s="718" t="e">
        <f t="shared" si="13"/>
        <v>#N/A</v>
      </c>
      <c r="V34" s="717" t="s">
        <v>17</v>
      </c>
      <c r="W34" s="718" t="e">
        <f t="shared" si="14"/>
        <v>#N/A</v>
      </c>
      <c r="X34" s="719"/>
      <c r="Y34" s="3272"/>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70"/>
      <c r="Q35" s="1538" t="str">
        <f t="shared" si="11"/>
        <v>建筑结构</v>
      </c>
      <c r="R35" s="714" t="s">
        <v>17</v>
      </c>
      <c r="S35" s="715">
        <f t="shared" si="12"/>
        <v>100</v>
      </c>
      <c r="T35" s="714" t="s">
        <v>17</v>
      </c>
      <c r="U35" s="715">
        <f t="shared" si="13"/>
        <v>100</v>
      </c>
      <c r="V35" s="714" t="s">
        <v>17</v>
      </c>
      <c r="W35" s="715">
        <f t="shared" si="14"/>
        <v>100</v>
      </c>
      <c r="X35" s="1541"/>
      <c r="Y35" s="3272"/>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70"/>
      <c r="Q36" s="1538" t="str">
        <f t="shared" si="11"/>
        <v>公共部分装修</v>
      </c>
      <c r="R36" s="714" t="s">
        <v>17</v>
      </c>
      <c r="S36" s="715">
        <f t="shared" si="12"/>
        <v>100</v>
      </c>
      <c r="T36" s="714" t="s">
        <v>17</v>
      </c>
      <c r="U36" s="715">
        <f t="shared" si="13"/>
        <v>100</v>
      </c>
      <c r="V36" s="714" t="s">
        <v>17</v>
      </c>
      <c r="W36" s="715">
        <f t="shared" si="14"/>
        <v>100</v>
      </c>
      <c r="X36" s="1541"/>
      <c r="Y36" s="3272"/>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70"/>
      <c r="Q37" s="1538" t="str">
        <f t="shared" si="11"/>
        <v>成新度</v>
      </c>
      <c r="R37" s="714" t="s">
        <v>17</v>
      </c>
      <c r="S37" s="715" t="e">
        <f t="shared" si="12"/>
        <v>#N/A</v>
      </c>
      <c r="T37" s="714" t="s">
        <v>17</v>
      </c>
      <c r="U37" s="715" t="e">
        <f t="shared" si="13"/>
        <v>#N/A</v>
      </c>
      <c r="V37" s="714" t="s">
        <v>17</v>
      </c>
      <c r="W37" s="715" t="e">
        <f t="shared" si="14"/>
        <v>#N/A</v>
      </c>
      <c r="X37" s="1541"/>
      <c r="Y37" s="3272"/>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70"/>
      <c r="Q38" s="1529" t="str">
        <f t="shared" si="11"/>
        <v>写字楼等级</v>
      </c>
      <c r="R38" s="710" t="s">
        <v>17</v>
      </c>
      <c r="S38" s="711">
        <f t="shared" si="12"/>
        <v>100</v>
      </c>
      <c r="T38" s="710" t="s">
        <v>17</v>
      </c>
      <c r="U38" s="711">
        <f t="shared" si="13"/>
        <v>100</v>
      </c>
      <c r="V38" s="710" t="s">
        <v>17</v>
      </c>
      <c r="W38" s="711">
        <f t="shared" si="14"/>
        <v>100</v>
      </c>
      <c r="X38" s="712"/>
      <c r="Y38" s="3272"/>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70" t="s">
        <v>2386</v>
      </c>
      <c r="Q39" s="1538" t="str">
        <f t="shared" si="11"/>
        <v>物业管理</v>
      </c>
      <c r="R39" s="714" t="s">
        <v>17</v>
      </c>
      <c r="S39" s="715">
        <f t="shared" si="12"/>
        <v>100</v>
      </c>
      <c r="T39" s="714" t="s">
        <v>17</v>
      </c>
      <c r="U39" s="715">
        <f t="shared" si="13"/>
        <v>100</v>
      </c>
      <c r="V39" s="714" t="s">
        <v>17</v>
      </c>
      <c r="W39" s="715">
        <f t="shared" si="14"/>
        <v>100</v>
      </c>
      <c r="X39" s="1541"/>
      <c r="Y39" s="3272"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70"/>
      <c r="Q40" s="1538" t="str">
        <f t="shared" si="11"/>
        <v>市政基础设施</v>
      </c>
      <c r="R40" s="714" t="s">
        <v>17</v>
      </c>
      <c r="S40" s="715">
        <f t="shared" si="12"/>
        <v>100</v>
      </c>
      <c r="T40" s="714" t="s">
        <v>17</v>
      </c>
      <c r="U40" s="715">
        <f t="shared" si="13"/>
        <v>100</v>
      </c>
      <c r="V40" s="714" t="s">
        <v>17</v>
      </c>
      <c r="W40" s="715">
        <f t="shared" si="14"/>
        <v>100</v>
      </c>
      <c r="X40" s="1541"/>
      <c r="Y40" s="3272"/>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70"/>
      <c r="Q41" s="1538" t="str">
        <f t="shared" si="11"/>
        <v>层高</v>
      </c>
      <c r="R41" s="714" t="s">
        <v>17</v>
      </c>
      <c r="S41" s="715">
        <f t="shared" si="12"/>
        <v>100</v>
      </c>
      <c r="T41" s="714" t="s">
        <v>17</v>
      </c>
      <c r="U41" s="715">
        <f t="shared" si="13"/>
        <v>100</v>
      </c>
      <c r="V41" s="714" t="s">
        <v>17</v>
      </c>
      <c r="W41" s="715">
        <f t="shared" si="14"/>
        <v>100</v>
      </c>
      <c r="X41" s="1541"/>
      <c r="Y41" s="3272"/>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70"/>
      <c r="Q42" s="716" t="str">
        <f t="shared" si="11"/>
        <v>单套建筑面积</v>
      </c>
      <c r="R42" s="717" t="s">
        <v>17</v>
      </c>
      <c r="S42" s="718">
        <f t="shared" si="12"/>
        <v>100</v>
      </c>
      <c r="T42" s="717" t="s">
        <v>17</v>
      </c>
      <c r="U42" s="718">
        <f t="shared" si="13"/>
        <v>100</v>
      </c>
      <c r="V42" s="717" t="s">
        <v>17</v>
      </c>
      <c r="W42" s="718">
        <f t="shared" si="14"/>
        <v>100</v>
      </c>
      <c r="X42" s="719"/>
      <c r="Y42" s="3272"/>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70"/>
      <c r="Q43" s="1538" t="str">
        <f t="shared" si="11"/>
        <v>内部装修</v>
      </c>
      <c r="R43" s="714" t="s">
        <v>17</v>
      </c>
      <c r="S43" s="715">
        <f t="shared" si="12"/>
        <v>100</v>
      </c>
      <c r="T43" s="714" t="s">
        <v>17</v>
      </c>
      <c r="U43" s="715">
        <f t="shared" si="13"/>
        <v>100</v>
      </c>
      <c r="V43" s="714" t="s">
        <v>17</v>
      </c>
      <c r="W43" s="715">
        <f t="shared" si="14"/>
        <v>100</v>
      </c>
      <c r="X43" s="1541"/>
      <c r="Y43" s="3272"/>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0"/>
      <c r="M44" s="2944"/>
      <c r="N44" s="2944"/>
      <c r="O44" s="2944"/>
      <c r="P44" s="3270"/>
      <c r="Q44" s="1538" t="str">
        <f t="shared" si="11"/>
        <v>内部装修维护情况</v>
      </c>
      <c r="R44" s="714" t="s">
        <v>17</v>
      </c>
      <c r="S44" s="715">
        <f t="shared" si="12"/>
        <v>100</v>
      </c>
      <c r="T44" s="714" t="s">
        <v>17</v>
      </c>
      <c r="U44" s="715">
        <f t="shared" si="13"/>
        <v>100</v>
      </c>
      <c r="V44" s="714" t="s">
        <v>17</v>
      </c>
      <c r="W44" s="715">
        <f t="shared" si="14"/>
        <v>100</v>
      </c>
      <c r="X44" s="1541"/>
      <c r="Y44" s="3272"/>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70"/>
      <c r="Q45" s="1529">
        <f t="shared" si="11"/>
        <v>111</v>
      </c>
      <c r="R45" s="710" t="s">
        <v>17</v>
      </c>
      <c r="S45" s="711">
        <f t="shared" si="12"/>
        <v>100</v>
      </c>
      <c r="T45" s="710" t="s">
        <v>17</v>
      </c>
      <c r="U45" s="711">
        <f t="shared" si="13"/>
        <v>100</v>
      </c>
      <c r="V45" s="710" t="s">
        <v>17</v>
      </c>
      <c r="W45" s="711">
        <f t="shared" si="14"/>
        <v>100</v>
      </c>
      <c r="X45" s="712"/>
      <c r="Y45" s="3272"/>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70"/>
      <c r="Q46" s="1538">
        <f t="shared" si="11"/>
        <v>111</v>
      </c>
      <c r="R46" s="714" t="s">
        <v>17</v>
      </c>
      <c r="S46" s="715">
        <f t="shared" si="12"/>
        <v>100</v>
      </c>
      <c r="T46" s="714" t="s">
        <v>17</v>
      </c>
      <c r="U46" s="715">
        <f t="shared" si="13"/>
        <v>100</v>
      </c>
      <c r="V46" s="714" t="s">
        <v>17</v>
      </c>
      <c r="W46" s="715">
        <f t="shared" si="14"/>
        <v>100</v>
      </c>
      <c r="X46" s="1541"/>
      <c r="Y46" s="3272"/>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71"/>
      <c r="Q47" s="1538">
        <f t="shared" si="11"/>
        <v>111</v>
      </c>
      <c r="R47" s="714" t="s">
        <v>17</v>
      </c>
      <c r="S47" s="715">
        <f t="shared" si="12"/>
        <v>100</v>
      </c>
      <c r="T47" s="714" t="s">
        <v>17</v>
      </c>
      <c r="U47" s="715">
        <f t="shared" si="13"/>
        <v>100</v>
      </c>
      <c r="V47" s="714" t="s">
        <v>17</v>
      </c>
      <c r="W47" s="715">
        <f t="shared" si="14"/>
        <v>100</v>
      </c>
      <c r="X47" s="1541"/>
      <c r="Y47" s="3273"/>
      <c r="Z47" s="1542">
        <f t="shared" si="15"/>
        <v>111</v>
      </c>
      <c r="AA47" s="1539">
        <f t="shared" si="3"/>
        <v>1</v>
      </c>
      <c r="AB47" s="1539">
        <f t="shared" si="4"/>
        <v>1</v>
      </c>
      <c r="AC47" s="2150">
        <f t="shared" si="5"/>
        <v>1</v>
      </c>
    </row>
    <row r="48" spans="1:29" ht="15">
      <c r="A48" s="438" t="s">
        <v>2398</v>
      </c>
      <c r="B48" s="439"/>
      <c r="C48" s="1316" t="s">
        <v>1</v>
      </c>
      <c r="D48" s="1317"/>
      <c r="E48" s="1318"/>
      <c r="F48" s="1319"/>
      <c r="G48" s="1320"/>
      <c r="H48" s="1321"/>
      <c r="I48" s="1318"/>
      <c r="J48" s="444"/>
      <c r="K48" s="723"/>
      <c r="L48" s="2952"/>
      <c r="M48" s="2944"/>
      <c r="N48" s="2944"/>
      <c r="O48" s="2944"/>
      <c r="P48" s="3276" t="str">
        <f>A48</f>
        <v>成交单价（元/平方米）</v>
      </c>
      <c r="Q48" s="3265"/>
      <c r="R48" s="3266">
        <f>E48</f>
        <v>0</v>
      </c>
      <c r="S48" s="3266"/>
      <c r="T48" s="3266">
        <f>G48</f>
        <v>0</v>
      </c>
      <c r="U48" s="3266"/>
      <c r="V48" s="3266">
        <f>I48</f>
        <v>0</v>
      </c>
      <c r="W48" s="3266"/>
      <c r="X48" s="405"/>
      <c r="Y48" s="721"/>
      <c r="Z48" s="405"/>
      <c r="AA48" s="405"/>
      <c r="AB48" s="405"/>
      <c r="AC48" s="586"/>
    </row>
    <row r="49" spans="1:29" ht="15.75" thickBot="1">
      <c r="A49" s="445" t="s">
        <v>2490</v>
      </c>
      <c r="B49" s="446"/>
      <c r="C49" s="1322" t="e">
        <f>R50</f>
        <v>#DIV/0!</v>
      </c>
      <c r="D49" s="2540" t="s">
        <v>2881</v>
      </c>
      <c r="E49" s="1323" t="e">
        <f>R49</f>
        <v>#DIV/0!</v>
      </c>
      <c r="F49" s="2541"/>
      <c r="G49" s="1322" t="e">
        <f>T49</f>
        <v>#DIV/0!</v>
      </c>
      <c r="H49" s="2541"/>
      <c r="I49" s="1323" t="e">
        <f>V49</f>
        <v>#DIV/0!</v>
      </c>
      <c r="J49" s="2541"/>
      <c r="K49" s="2543">
        <f>F49+H49+J49</f>
        <v>0</v>
      </c>
      <c r="L49" s="2952"/>
      <c r="M49" s="2944"/>
      <c r="N49" s="2944"/>
      <c r="O49" s="2944"/>
      <c r="P49" s="3276"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08" t="str">
        <f>A50</f>
        <v>估价对象XX用房的比较价值（楼面单价，元/平方米）</v>
      </c>
      <c r="Q50" s="3309"/>
      <c r="R50" s="3310" t="e">
        <f>IF(F1="售价",ROUND(IF(D49="简单平均",AVERAGE(R49:V49),R49*F49+T49*H49+V49*J49),0),ROUND(IF(D49="简单平均",AVERAGE(R49:V49),R49*F49+T49*H49+V49*J49),1))</f>
        <v>#DIV/0!</v>
      </c>
      <c r="S50" s="3310"/>
      <c r="T50" s="3310"/>
      <c r="U50" s="3310"/>
      <c r="V50" s="3310"/>
      <c r="W50" s="3310"/>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6"/>
      <c r="M119" s="2157"/>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北京再出发健康管理有限公司：</v>
      </c>
    </row>
    <row r="4" spans="1:1" ht="18">
      <c r="A4" s="1667" t="str">
        <f>"受贵公司委托，我公司对"&amp;项目基本情况!S1&amp;"进行了预评估。"</f>
        <v>受贵公司委托，我公司对北京市口子村东1号院36、47号楼-1至3层101号工业用房房地产抵押价值进行了预评估。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口子村东1号院36、47号楼-1至3层101号工业用房房地产，为北京再出发健康管理有限公司所有。根据《国有土地使用证》[]，估价对象（分摊）出让国有建设用地使用权面积为0平方米，建筑面积为622.69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口子村东1号院36、47号楼-1至3层101号工业用房房地产,属北京再出发健康管理有限公司开发建设的工业项目，该项目尚在开发建设中。根据《国有土地使用证》[]，估价对象（分摊）出让国有建设用地使用权面积为0平方米，规划建筑面积为622.69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为估价委托人在向工行通州支行办理贷款手续过程中，确定房地产抵押贷款额度提供参考依据而评估房地产抵押价值。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2020年12月22日（评估专业人员实地查勘之日）</v>
      </c>
    </row>
    <row r="16" spans="1:1" ht="18.75">
      <c r="A16" s="1672" t="s">
        <v>1584</v>
      </c>
    </row>
    <row r="17" spans="1:1" ht="75">
      <c r="A17" s="1667" t="s">
        <v>1585</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本次评估采用的主估价方法为基准地价系数修正法和基准地价系数修正法。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80" t="s">
        <v>2467</v>
      </c>
      <c r="D4" s="3281"/>
      <c r="E4" s="3282" t="s">
        <v>2468</v>
      </c>
      <c r="F4" s="3283"/>
      <c r="G4" s="3280" t="s">
        <v>2469</v>
      </c>
      <c r="H4" s="3281"/>
      <c r="I4" s="3280" t="s">
        <v>2470</v>
      </c>
      <c r="J4" s="3281"/>
      <c r="K4" s="567" t="s">
        <v>2471</v>
      </c>
      <c r="L4" s="2943"/>
      <c r="M4" s="2944"/>
      <c r="N4" s="2944"/>
      <c r="O4" s="2944"/>
      <c r="P4" s="3284" t="s">
        <v>2472</v>
      </c>
      <c r="Q4" s="3285"/>
      <c r="R4" s="3290" t="s">
        <v>2468</v>
      </c>
      <c r="S4" s="3291"/>
      <c r="T4" s="3290" t="s">
        <v>2469</v>
      </c>
      <c r="U4" s="3291"/>
      <c r="V4" s="3296" t="s">
        <v>2470</v>
      </c>
      <c r="W4" s="3296"/>
      <c r="X4" s="1541"/>
      <c r="Y4" s="3290" t="s">
        <v>2472</v>
      </c>
      <c r="Z4" s="3291"/>
      <c r="AA4" s="3277" t="s">
        <v>2468</v>
      </c>
      <c r="AB4" s="3278" t="s">
        <v>2469</v>
      </c>
      <c r="AC4" s="3277" t="s">
        <v>2470</v>
      </c>
    </row>
    <row r="5" spans="1:29" ht="15">
      <c r="A5" s="364"/>
      <c r="B5" s="365"/>
      <c r="C5" s="3299" t="s">
        <v>2363</v>
      </c>
      <c r="D5" s="3300"/>
      <c r="E5" s="3306" t="s">
        <v>2364</v>
      </c>
      <c r="F5" s="3307"/>
      <c r="G5" s="3299" t="s">
        <v>2365</v>
      </c>
      <c r="H5" s="3300"/>
      <c r="I5" s="3299" t="s">
        <v>2366</v>
      </c>
      <c r="J5" s="3300"/>
      <c r="K5" s="567"/>
      <c r="L5" s="2943"/>
      <c r="M5" s="2944"/>
      <c r="N5" s="2944"/>
      <c r="O5" s="2944"/>
      <c r="P5" s="3286"/>
      <c r="Q5" s="3287"/>
      <c r="R5" s="3292"/>
      <c r="S5" s="3293"/>
      <c r="T5" s="3292"/>
      <c r="U5" s="3293"/>
      <c r="V5" s="3296"/>
      <c r="W5" s="3296"/>
      <c r="X5" s="1541"/>
      <c r="Y5" s="3292"/>
      <c r="Z5" s="3293"/>
      <c r="AA5" s="3278"/>
      <c r="AB5" s="3278"/>
      <c r="AC5" s="3278"/>
    </row>
    <row r="6" spans="1:29" ht="15.75" thickBot="1">
      <c r="A6" s="366"/>
      <c r="B6" s="367"/>
      <c r="C6" s="3297" t="s">
        <v>2367</v>
      </c>
      <c r="D6" s="3298"/>
      <c r="E6" s="3304" t="s">
        <v>2367</v>
      </c>
      <c r="F6" s="3305"/>
      <c r="G6" s="3297" t="s">
        <v>2367</v>
      </c>
      <c r="H6" s="3298"/>
      <c r="I6" s="3297" t="s">
        <v>2367</v>
      </c>
      <c r="J6" s="3298"/>
      <c r="K6" s="567" t="s">
        <v>2368</v>
      </c>
      <c r="L6" s="2943"/>
      <c r="M6" s="2944"/>
      <c r="N6" s="2944"/>
      <c r="O6" s="2944"/>
      <c r="P6" s="3288"/>
      <c r="Q6" s="3289"/>
      <c r="R6" s="3292"/>
      <c r="S6" s="3293"/>
      <c r="T6" s="3294"/>
      <c r="U6" s="3295"/>
      <c r="V6" s="3296"/>
      <c r="W6" s="3296"/>
      <c r="X6" s="1541"/>
      <c r="Y6" s="3294"/>
      <c r="Z6" s="3295"/>
      <c r="AA6" s="3279"/>
      <c r="AB6" s="3279"/>
      <c r="AC6" s="3279"/>
    </row>
    <row r="7" spans="1:29" s="113" customFormat="1" ht="15.75" thickBot="1">
      <c r="A7" s="368" t="s">
        <v>2369</v>
      </c>
      <c r="B7" s="369"/>
      <c r="C7" s="370">
        <f>'数据-取费表'!B2</f>
        <v>44187</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1" t="s">
        <v>2370</v>
      </c>
      <c r="Q7" s="3303"/>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5" t="s">
        <v>2376</v>
      </c>
      <c r="Q9" s="1529" t="str">
        <f t="shared" ref="Q9:Q14" si="6">B9</f>
        <v>用途</v>
      </c>
      <c r="R9" s="710" t="s">
        <v>17</v>
      </c>
      <c r="S9" s="711">
        <f t="shared" si="0"/>
        <v>100</v>
      </c>
      <c r="T9" s="710" t="s">
        <v>17</v>
      </c>
      <c r="U9" s="711">
        <f t="shared" si="1"/>
        <v>100</v>
      </c>
      <c r="V9" s="710" t="s">
        <v>17</v>
      </c>
      <c r="W9" s="711">
        <f t="shared" si="2"/>
        <v>100</v>
      </c>
      <c r="X9" s="712"/>
      <c r="Y9" s="313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5"/>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5"/>
      <c r="Q11" s="1529">
        <f t="shared" si="6"/>
        <v>111</v>
      </c>
      <c r="R11" s="710" t="s">
        <v>17</v>
      </c>
      <c r="S11" s="711">
        <f t="shared" si="0"/>
        <v>100</v>
      </c>
      <c r="T11" s="710" t="s">
        <v>17</v>
      </c>
      <c r="U11" s="711">
        <f t="shared" si="1"/>
        <v>100</v>
      </c>
      <c r="V11" s="710" t="s">
        <v>17</v>
      </c>
      <c r="W11" s="711">
        <f t="shared" si="2"/>
        <v>100</v>
      </c>
      <c r="X11" s="712"/>
      <c r="Y11" s="31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5"/>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5"/>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67" t="s">
        <v>2381</v>
      </c>
      <c r="Q14" s="1538" t="str">
        <f t="shared" si="6"/>
        <v>交通便捷度</v>
      </c>
      <c r="R14" s="714" t="s">
        <v>17</v>
      </c>
      <c r="S14" s="715">
        <f t="shared" si="0"/>
        <v>100</v>
      </c>
      <c r="T14" s="714" t="s">
        <v>17</v>
      </c>
      <c r="U14" s="715">
        <f t="shared" si="1"/>
        <v>100</v>
      </c>
      <c r="V14" s="714" t="s">
        <v>17</v>
      </c>
      <c r="W14" s="715">
        <f t="shared" si="2"/>
        <v>100</v>
      </c>
      <c r="X14" s="1541"/>
      <c r="Y14" s="3267"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68"/>
      <c r="Q15" s="1538"/>
      <c r="R15" s="714"/>
      <c r="S15" s="715"/>
      <c r="T15" s="714"/>
      <c r="U15" s="715"/>
      <c r="V15" s="714"/>
      <c r="W15" s="715"/>
      <c r="X15" s="1541"/>
      <c r="Y15" s="3268"/>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68"/>
      <c r="Q16" s="1538" t="str">
        <f>B16</f>
        <v>公共配套设施</v>
      </c>
      <c r="R16" s="714" t="s">
        <v>17</v>
      </c>
      <c r="S16" s="715">
        <f>F16</f>
        <v>100</v>
      </c>
      <c r="T16" s="714" t="s">
        <v>17</v>
      </c>
      <c r="U16" s="715">
        <f>H16</f>
        <v>100</v>
      </c>
      <c r="V16" s="714" t="s">
        <v>17</v>
      </c>
      <c r="W16" s="715">
        <f>J16</f>
        <v>100</v>
      </c>
      <c r="X16" s="1541"/>
      <c r="Y16" s="326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68"/>
      <c r="Q17" s="1538"/>
      <c r="R17" s="714"/>
      <c r="S17" s="715"/>
      <c r="T17" s="714"/>
      <c r="U17" s="715"/>
      <c r="V17" s="714"/>
      <c r="W17" s="715"/>
      <c r="X17" s="1541"/>
      <c r="Y17" s="3268"/>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68"/>
      <c r="Q18" s="1538" t="str">
        <f>B18</f>
        <v>基础设施水平</v>
      </c>
      <c r="R18" s="714" t="s">
        <v>17</v>
      </c>
      <c r="S18" s="715">
        <f>F18</f>
        <v>100</v>
      </c>
      <c r="T18" s="714" t="s">
        <v>17</v>
      </c>
      <c r="U18" s="715">
        <f>H18</f>
        <v>100</v>
      </c>
      <c r="V18" s="714" t="s">
        <v>17</v>
      </c>
      <c r="W18" s="715">
        <f>J18</f>
        <v>100</v>
      </c>
      <c r="X18" s="1541"/>
      <c r="Y18" s="326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68"/>
      <c r="Q19" s="1538"/>
      <c r="R19" s="714"/>
      <c r="S19" s="715"/>
      <c r="T19" s="714"/>
      <c r="U19" s="715"/>
      <c r="V19" s="714"/>
      <c r="W19" s="715"/>
      <c r="X19" s="1541"/>
      <c r="Y19" s="3268"/>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68"/>
      <c r="Q20" s="1538" t="str">
        <f>B20</f>
        <v>自然及人文环境</v>
      </c>
      <c r="R20" s="714" t="s">
        <v>17</v>
      </c>
      <c r="S20" s="715">
        <f>F20</f>
        <v>100</v>
      </c>
      <c r="T20" s="714" t="s">
        <v>17</v>
      </c>
      <c r="U20" s="715">
        <f>H20</f>
        <v>100</v>
      </c>
      <c r="V20" s="714" t="s">
        <v>17</v>
      </c>
      <c r="W20" s="715">
        <f>J20</f>
        <v>100</v>
      </c>
      <c r="X20" s="1541"/>
      <c r="Y20" s="326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68"/>
      <c r="Q21" s="1538"/>
      <c r="R21" s="714"/>
      <c r="S21" s="715"/>
      <c r="T21" s="714"/>
      <c r="U21" s="715"/>
      <c r="V21" s="714"/>
      <c r="W21" s="715"/>
      <c r="X21" s="1541"/>
      <c r="Y21" s="3268"/>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68"/>
      <c r="Q22" s="1538" t="str">
        <f>B22</f>
        <v>楼层</v>
      </c>
      <c r="R22" s="714" t="s">
        <v>17</v>
      </c>
      <c r="S22" s="715">
        <f>F22</f>
        <v>100</v>
      </c>
      <c r="T22" s="714" t="s">
        <v>17</v>
      </c>
      <c r="U22" s="715">
        <f>H22</f>
        <v>100</v>
      </c>
      <c r="V22" s="714" t="s">
        <v>17</v>
      </c>
      <c r="W22" s="715">
        <f>J22</f>
        <v>100</v>
      </c>
      <c r="X22" s="1541"/>
      <c r="Y22" s="326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68"/>
      <c r="Q23" s="1538">
        <f>B23</f>
        <v>111</v>
      </c>
      <c r="R23" s="714" t="s">
        <v>17</v>
      </c>
      <c r="S23" s="715">
        <f>F23</f>
        <v>100</v>
      </c>
      <c r="T23" s="714" t="s">
        <v>17</v>
      </c>
      <c r="U23" s="715">
        <f>H23</f>
        <v>100</v>
      </c>
      <c r="V23" s="714" t="s">
        <v>17</v>
      </c>
      <c r="W23" s="715">
        <f>J23</f>
        <v>100</v>
      </c>
      <c r="X23" s="1541"/>
      <c r="Y23" s="326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68"/>
      <c r="Q24" s="1538">
        <f t="shared" ref="Q24:Q36" si="11">B24</f>
        <v>111</v>
      </c>
      <c r="R24" s="714" t="s">
        <v>17</v>
      </c>
      <c r="S24" s="715">
        <f>F24</f>
        <v>100</v>
      </c>
      <c r="T24" s="714" t="s">
        <v>17</v>
      </c>
      <c r="U24" s="715">
        <f>H24</f>
        <v>100</v>
      </c>
      <c r="V24" s="714" t="s">
        <v>17</v>
      </c>
      <c r="W24" s="715">
        <f>J24</f>
        <v>100</v>
      </c>
      <c r="X24" s="1541"/>
      <c r="Y24" s="326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68"/>
      <c r="Q25" s="1529">
        <f t="shared" si="11"/>
        <v>111</v>
      </c>
      <c r="R25" s="710" t="s">
        <v>17</v>
      </c>
      <c r="S25" s="711">
        <f>F25</f>
        <v>100</v>
      </c>
      <c r="T25" s="710" t="s">
        <v>17</v>
      </c>
      <c r="U25" s="711">
        <f>H25</f>
        <v>100</v>
      </c>
      <c r="V25" s="710" t="s">
        <v>17</v>
      </c>
      <c r="W25" s="711">
        <f>J25</f>
        <v>100</v>
      </c>
      <c r="X25" s="712"/>
      <c r="Y25" s="3268"/>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23"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2"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72"/>
      <c r="Q27" s="716" t="str">
        <f t="shared" si="11"/>
        <v>项目停车位配比</v>
      </c>
      <c r="R27" s="717" t="s">
        <v>17</v>
      </c>
      <c r="S27" s="718">
        <f t="shared" si="12"/>
        <v>100</v>
      </c>
      <c r="T27" s="717" t="s">
        <v>17</v>
      </c>
      <c r="U27" s="718">
        <f t="shared" si="13"/>
        <v>100</v>
      </c>
      <c r="V27" s="717" t="s">
        <v>17</v>
      </c>
      <c r="W27" s="718">
        <f t="shared" si="14"/>
        <v>100</v>
      </c>
      <c r="X27" s="719"/>
      <c r="Y27" s="3272"/>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72"/>
      <c r="Q28" s="1538" t="str">
        <f t="shared" si="11"/>
        <v>公共部分装修</v>
      </c>
      <c r="R28" s="714" t="s">
        <v>17</v>
      </c>
      <c r="S28" s="715">
        <f t="shared" si="12"/>
        <v>100</v>
      </c>
      <c r="T28" s="714" t="s">
        <v>17</v>
      </c>
      <c r="U28" s="715">
        <f t="shared" si="13"/>
        <v>100</v>
      </c>
      <c r="V28" s="714" t="s">
        <v>17</v>
      </c>
      <c r="W28" s="715">
        <f t="shared" si="14"/>
        <v>100</v>
      </c>
      <c r="X28" s="1541"/>
      <c r="Y28" s="3272"/>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72"/>
      <c r="Q29" s="1538" t="str">
        <f t="shared" si="11"/>
        <v>成新率</v>
      </c>
      <c r="R29" s="714" t="s">
        <v>17</v>
      </c>
      <c r="S29" s="715" t="e">
        <f t="shared" si="12"/>
        <v>#N/A</v>
      </c>
      <c r="T29" s="714" t="s">
        <v>17</v>
      </c>
      <c r="U29" s="715" t="e">
        <f t="shared" si="13"/>
        <v>#N/A</v>
      </c>
      <c r="V29" s="714" t="s">
        <v>17</v>
      </c>
      <c r="W29" s="715" t="e">
        <f t="shared" si="14"/>
        <v>#N/A</v>
      </c>
      <c r="X29" s="1541"/>
      <c r="Y29" s="3272"/>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72"/>
      <c r="Q30" s="1538" t="str">
        <f t="shared" si="11"/>
        <v>物业等级</v>
      </c>
      <c r="R30" s="714" t="s">
        <v>17</v>
      </c>
      <c r="S30" s="715">
        <f t="shared" si="12"/>
        <v>100</v>
      </c>
      <c r="T30" s="714" t="s">
        <v>17</v>
      </c>
      <c r="U30" s="715">
        <f t="shared" si="13"/>
        <v>100</v>
      </c>
      <c r="V30" s="714" t="s">
        <v>17</v>
      </c>
      <c r="W30" s="715">
        <f t="shared" si="14"/>
        <v>100</v>
      </c>
      <c r="X30" s="1541"/>
      <c r="Y30" s="3272"/>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72"/>
      <c r="Q31" s="1529" t="str">
        <f t="shared" si="11"/>
        <v>停车位面积</v>
      </c>
      <c r="R31" s="710" t="s">
        <v>17</v>
      </c>
      <c r="S31" s="711" t="e">
        <f t="shared" si="12"/>
        <v>#N/A</v>
      </c>
      <c r="T31" s="710" t="s">
        <v>17</v>
      </c>
      <c r="U31" s="711" t="e">
        <f t="shared" si="13"/>
        <v>#N/A</v>
      </c>
      <c r="V31" s="710" t="s">
        <v>17</v>
      </c>
      <c r="W31" s="711" t="e">
        <f t="shared" si="14"/>
        <v>#N/A</v>
      </c>
      <c r="X31" s="712"/>
      <c r="Y31" s="327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72" t="s">
        <v>2386</v>
      </c>
      <c r="Q32" s="1538" t="str">
        <f t="shared" si="11"/>
        <v>车位类型</v>
      </c>
      <c r="R32" s="714" t="s">
        <v>17</v>
      </c>
      <c r="S32" s="715">
        <f t="shared" si="12"/>
        <v>100</v>
      </c>
      <c r="T32" s="714" t="s">
        <v>17</v>
      </c>
      <c r="U32" s="715">
        <f t="shared" si="13"/>
        <v>100</v>
      </c>
      <c r="V32" s="714" t="s">
        <v>17</v>
      </c>
      <c r="W32" s="715">
        <f t="shared" si="14"/>
        <v>100</v>
      </c>
      <c r="X32" s="1541"/>
      <c r="Y32" s="3272"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72"/>
      <c r="Q33" s="1538" t="str">
        <f t="shared" si="11"/>
        <v>是否直接入户</v>
      </c>
      <c r="R33" s="714" t="s">
        <v>17</v>
      </c>
      <c r="S33" s="715">
        <f t="shared" si="12"/>
        <v>100</v>
      </c>
      <c r="T33" s="714" t="s">
        <v>17</v>
      </c>
      <c r="U33" s="715">
        <f t="shared" si="13"/>
        <v>100</v>
      </c>
      <c r="V33" s="714" t="s">
        <v>17</v>
      </c>
      <c r="W33" s="715">
        <f t="shared" si="14"/>
        <v>100</v>
      </c>
      <c r="X33" s="1541"/>
      <c r="Y33" s="3272"/>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72"/>
      <c r="Q34" s="1538">
        <f t="shared" si="11"/>
        <v>111</v>
      </c>
      <c r="R34" s="714" t="s">
        <v>17</v>
      </c>
      <c r="S34" s="715">
        <f t="shared" si="12"/>
        <v>100</v>
      </c>
      <c r="T34" s="714" t="s">
        <v>17</v>
      </c>
      <c r="U34" s="715">
        <f t="shared" si="13"/>
        <v>100</v>
      </c>
      <c r="V34" s="714" t="s">
        <v>17</v>
      </c>
      <c r="W34" s="715">
        <f t="shared" si="14"/>
        <v>100</v>
      </c>
      <c r="X34" s="1541"/>
      <c r="Y34" s="3272"/>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72"/>
      <c r="Q35" s="716">
        <f t="shared" si="11"/>
        <v>111</v>
      </c>
      <c r="R35" s="717" t="s">
        <v>17</v>
      </c>
      <c r="S35" s="718">
        <f t="shared" si="12"/>
        <v>100</v>
      </c>
      <c r="T35" s="717" t="s">
        <v>17</v>
      </c>
      <c r="U35" s="718">
        <f t="shared" si="13"/>
        <v>100</v>
      </c>
      <c r="V35" s="717" t="s">
        <v>17</v>
      </c>
      <c r="W35" s="718">
        <f t="shared" si="14"/>
        <v>100</v>
      </c>
      <c r="X35" s="719"/>
      <c r="Y35" s="3272"/>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72"/>
      <c r="Q36" s="1538">
        <f t="shared" si="11"/>
        <v>111</v>
      </c>
      <c r="R36" s="714" t="s">
        <v>17</v>
      </c>
      <c r="S36" s="715">
        <f t="shared" si="12"/>
        <v>100</v>
      </c>
      <c r="T36" s="714" t="s">
        <v>17</v>
      </c>
      <c r="U36" s="715">
        <f t="shared" si="13"/>
        <v>100</v>
      </c>
      <c r="V36" s="714" t="s">
        <v>17</v>
      </c>
      <c r="W36" s="715">
        <f t="shared" si="14"/>
        <v>100</v>
      </c>
      <c r="X36" s="1541"/>
      <c r="Y36" s="3272"/>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2"/>
      <c r="M37" s="2953"/>
      <c r="N37" s="2944"/>
      <c r="O37" s="2953"/>
      <c r="P37" s="3265" t="str">
        <f>A37</f>
        <v>成交单价</v>
      </c>
      <c r="Q37" s="3265"/>
      <c r="R37" s="3266">
        <f>E37</f>
        <v>0</v>
      </c>
      <c r="S37" s="3266"/>
      <c r="T37" s="3266">
        <f>G37</f>
        <v>0</v>
      </c>
      <c r="U37" s="3266"/>
      <c r="V37" s="3266">
        <f>I37</f>
        <v>0</v>
      </c>
      <c r="W37" s="3266"/>
      <c r="X37" s="699"/>
      <c r="Y37" s="721"/>
      <c r="Z37" s="699"/>
      <c r="AA37" s="699"/>
      <c r="AB37" s="699"/>
      <c r="AC37" s="699"/>
    </row>
    <row r="38" spans="1:29" ht="15.75" thickBot="1">
      <c r="A38" s="445" t="s">
        <v>2543</v>
      </c>
      <c r="B38" s="446" t="str">
        <f>B37</f>
        <v>元/车位</v>
      </c>
      <c r="C38" s="1322" t="e">
        <f>R39</f>
        <v>#DIV/0!</v>
      </c>
      <c r="D38" s="2540" t="s">
        <v>2881</v>
      </c>
      <c r="E38" s="1323" t="e">
        <f>R38</f>
        <v>#DIV/0!</v>
      </c>
      <c r="F38" s="2541"/>
      <c r="G38" s="1322" t="e">
        <f>T38</f>
        <v>#DIV/0!</v>
      </c>
      <c r="H38" s="2541"/>
      <c r="I38" s="1323" t="e">
        <f>V38</f>
        <v>#DIV/0!</v>
      </c>
      <c r="J38" s="2541"/>
      <c r="K38" s="2543">
        <f>F38+H38+J38</f>
        <v>0</v>
      </c>
      <c r="L38" s="2952"/>
      <c r="M38" s="2953"/>
      <c r="N38" s="2953"/>
      <c r="O38" s="2953"/>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62" t="str">
        <f>A39</f>
        <v>估价对象XX用房的比较价值（楼面单价，元/平方米）</v>
      </c>
      <c r="Q39" s="3263"/>
      <c r="R39" s="3324" t="e">
        <f>IF(F1="售价",ROUND(IF(D38="简单平均",AVERAGE(R38:W38),R38*F38+T38*H38+V38*J38),0),ROUND(IF(D38="简单平均",AVERAGE(R38:V38),R38*F38+T38*H38+V38*J38),1))</f>
        <v>#DIV/0!</v>
      </c>
      <c r="S39" s="3324"/>
      <c r="T39" s="3324"/>
      <c r="U39" s="3324"/>
      <c r="V39" s="3324"/>
      <c r="W39" s="332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80" t="s">
        <v>2467</v>
      </c>
      <c r="D4" s="3281"/>
      <c r="E4" s="3282" t="s">
        <v>2468</v>
      </c>
      <c r="F4" s="3283"/>
      <c r="G4" s="3280" t="s">
        <v>2469</v>
      </c>
      <c r="H4" s="3281"/>
      <c r="I4" s="3280" t="s">
        <v>2470</v>
      </c>
      <c r="J4" s="3281"/>
      <c r="K4" s="567" t="s">
        <v>2471</v>
      </c>
      <c r="L4" s="2943"/>
      <c r="M4" s="2944"/>
      <c r="N4" s="2944"/>
      <c r="O4" s="2944"/>
      <c r="P4" s="3284" t="s">
        <v>2472</v>
      </c>
      <c r="Q4" s="3285"/>
      <c r="R4" s="3290" t="s">
        <v>2468</v>
      </c>
      <c r="S4" s="3291"/>
      <c r="T4" s="3290" t="s">
        <v>2469</v>
      </c>
      <c r="U4" s="3291"/>
      <c r="V4" s="3296" t="s">
        <v>2470</v>
      </c>
      <c r="W4" s="3296"/>
      <c r="X4" s="1541"/>
      <c r="Y4" s="3290" t="s">
        <v>2472</v>
      </c>
      <c r="Z4" s="3291"/>
      <c r="AA4" s="3277" t="s">
        <v>2468</v>
      </c>
      <c r="AB4" s="3278" t="s">
        <v>2469</v>
      </c>
      <c r="AC4" s="3277" t="s">
        <v>2470</v>
      </c>
    </row>
    <row r="5" spans="1:29" ht="15">
      <c r="A5" s="364"/>
      <c r="B5" s="365"/>
      <c r="C5" s="3299" t="s">
        <v>2363</v>
      </c>
      <c r="D5" s="3300"/>
      <c r="E5" s="3306" t="s">
        <v>2364</v>
      </c>
      <c r="F5" s="3307"/>
      <c r="G5" s="3299" t="s">
        <v>2365</v>
      </c>
      <c r="H5" s="3300"/>
      <c r="I5" s="3299" t="s">
        <v>2366</v>
      </c>
      <c r="J5" s="3300"/>
      <c r="K5" s="567"/>
      <c r="L5" s="2943"/>
      <c r="M5" s="2944"/>
      <c r="N5" s="2944"/>
      <c r="O5" s="2944"/>
      <c r="P5" s="3286"/>
      <c r="Q5" s="3287"/>
      <c r="R5" s="3292"/>
      <c r="S5" s="3293"/>
      <c r="T5" s="3292"/>
      <c r="U5" s="3293"/>
      <c r="V5" s="3296"/>
      <c r="W5" s="3296"/>
      <c r="X5" s="1541"/>
      <c r="Y5" s="3292"/>
      <c r="Z5" s="3293"/>
      <c r="AA5" s="3278"/>
      <c r="AB5" s="3278"/>
      <c r="AC5" s="3278"/>
    </row>
    <row r="6" spans="1:29" ht="15.75" thickBot="1">
      <c r="A6" s="366"/>
      <c r="B6" s="367"/>
      <c r="C6" s="3297" t="s">
        <v>2367</v>
      </c>
      <c r="D6" s="3298"/>
      <c r="E6" s="3304" t="s">
        <v>2367</v>
      </c>
      <c r="F6" s="3305"/>
      <c r="G6" s="3297" t="s">
        <v>2367</v>
      </c>
      <c r="H6" s="3298"/>
      <c r="I6" s="3297" t="s">
        <v>2367</v>
      </c>
      <c r="J6" s="3298"/>
      <c r="K6" s="567" t="s">
        <v>2368</v>
      </c>
      <c r="L6" s="2943"/>
      <c r="M6" s="2944"/>
      <c r="N6" s="2944"/>
      <c r="O6" s="2944"/>
      <c r="P6" s="3288"/>
      <c r="Q6" s="3289"/>
      <c r="R6" s="3292"/>
      <c r="S6" s="3293"/>
      <c r="T6" s="3294"/>
      <c r="U6" s="3295"/>
      <c r="V6" s="3296"/>
      <c r="W6" s="3296"/>
      <c r="X6" s="1541"/>
      <c r="Y6" s="3294"/>
      <c r="Z6" s="3295"/>
      <c r="AA6" s="3279"/>
      <c r="AB6" s="3279"/>
      <c r="AC6" s="3279"/>
    </row>
    <row r="7" spans="1:29" s="113" customFormat="1" ht="15.75" thickBot="1">
      <c r="A7" s="368" t="s">
        <v>2369</v>
      </c>
      <c r="B7" s="369"/>
      <c r="C7" s="370">
        <f>'数据-取费表'!B2</f>
        <v>44187</v>
      </c>
      <c r="D7" s="371">
        <v>100</v>
      </c>
      <c r="E7" s="372"/>
      <c r="F7" s="373">
        <f>SUMIF(46:46,YEAR(E7)&amp;"-"&amp;MONTH(E7),47:47)</f>
        <v>0</v>
      </c>
      <c r="G7" s="2162"/>
      <c r="H7" s="371">
        <f>SUMIF(46:46,YEAR(G7)&amp;"-"&amp;MONTH(G7),47:47)</f>
        <v>0</v>
      </c>
      <c r="I7" s="372"/>
      <c r="J7" s="371">
        <f>SUMIF(46:46,YEAR(I7)&amp;"-"&amp;MONTH(I7),47:47)</f>
        <v>0</v>
      </c>
      <c r="K7" s="568"/>
      <c r="L7" s="2945"/>
      <c r="M7" s="2946"/>
      <c r="N7" s="2946"/>
      <c r="O7" s="2946"/>
      <c r="P7" s="3301" t="s">
        <v>2370</v>
      </c>
      <c r="Q7" s="3303"/>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5" t="s">
        <v>2376</v>
      </c>
      <c r="Q9" s="1529" t="str">
        <f t="shared" ref="Q9:Q14" si="6">B9</f>
        <v>用途</v>
      </c>
      <c r="R9" s="710" t="s">
        <v>17</v>
      </c>
      <c r="S9" s="711">
        <f t="shared" si="0"/>
        <v>100</v>
      </c>
      <c r="T9" s="710" t="s">
        <v>17</v>
      </c>
      <c r="U9" s="711">
        <f t="shared" si="1"/>
        <v>100</v>
      </c>
      <c r="V9" s="710" t="s">
        <v>17</v>
      </c>
      <c r="W9" s="711">
        <f t="shared" si="2"/>
        <v>100</v>
      </c>
      <c r="X9" s="712"/>
      <c r="Y9" s="313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5"/>
      <c r="Q10" s="1529" t="str">
        <f t="shared" si="6"/>
        <v>土地使用年限（年）</v>
      </c>
      <c r="R10" s="710" t="s">
        <v>17</v>
      </c>
      <c r="S10" s="711">
        <f t="shared" si="0"/>
        <v>100</v>
      </c>
      <c r="T10" s="710" t="s">
        <v>17</v>
      </c>
      <c r="U10" s="711">
        <f t="shared" si="1"/>
        <v>100</v>
      </c>
      <c r="V10" s="710" t="s">
        <v>17</v>
      </c>
      <c r="W10" s="711">
        <f t="shared" si="2"/>
        <v>100</v>
      </c>
      <c r="X10" s="712"/>
      <c r="Y10" s="313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5"/>
      <c r="Q11" s="1529">
        <f t="shared" si="6"/>
        <v>111</v>
      </c>
      <c r="R11" s="710" t="s">
        <v>17</v>
      </c>
      <c r="S11" s="711">
        <f t="shared" si="0"/>
        <v>100</v>
      </c>
      <c r="T11" s="710" t="s">
        <v>17</v>
      </c>
      <c r="U11" s="711">
        <f t="shared" si="1"/>
        <v>100</v>
      </c>
      <c r="V11" s="710" t="s">
        <v>17</v>
      </c>
      <c r="W11" s="711">
        <f t="shared" si="2"/>
        <v>100</v>
      </c>
      <c r="X11" s="712"/>
      <c r="Y11" s="313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5"/>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0"/>
      <c r="M13" s="2944"/>
      <c r="N13" s="2944"/>
      <c r="O13" s="3002"/>
      <c r="P13" s="3265"/>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67" t="s">
        <v>2381</v>
      </c>
      <c r="Q14" s="1538" t="str">
        <f t="shared" si="6"/>
        <v>交通便捷度</v>
      </c>
      <c r="R14" s="714" t="s">
        <v>17</v>
      </c>
      <c r="S14" s="715">
        <f t="shared" si="0"/>
        <v>100</v>
      </c>
      <c r="T14" s="714" t="s">
        <v>17</v>
      </c>
      <c r="U14" s="715">
        <f t="shared" si="1"/>
        <v>100</v>
      </c>
      <c r="V14" s="714" t="s">
        <v>17</v>
      </c>
      <c r="W14" s="715">
        <f t="shared" si="2"/>
        <v>100</v>
      </c>
      <c r="X14" s="1541"/>
      <c r="Y14" s="3267"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68"/>
      <c r="Q15" s="1538"/>
      <c r="R15" s="714"/>
      <c r="S15" s="715"/>
      <c r="T15" s="714"/>
      <c r="U15" s="715"/>
      <c r="V15" s="714"/>
      <c r="W15" s="715"/>
      <c r="X15" s="1541"/>
      <c r="Y15" s="3268"/>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68"/>
      <c r="Q16" s="1538" t="str">
        <f>B16</f>
        <v>公共配套设施</v>
      </c>
      <c r="R16" s="714" t="s">
        <v>17</v>
      </c>
      <c r="S16" s="715">
        <f>F16</f>
        <v>100</v>
      </c>
      <c r="T16" s="714" t="s">
        <v>17</v>
      </c>
      <c r="U16" s="715">
        <f>H16</f>
        <v>100</v>
      </c>
      <c r="V16" s="714" t="s">
        <v>17</v>
      </c>
      <c r="W16" s="715">
        <f>J16</f>
        <v>100</v>
      </c>
      <c r="X16" s="1541"/>
      <c r="Y16" s="326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68"/>
      <c r="Q17" s="1538"/>
      <c r="R17" s="714"/>
      <c r="S17" s="715"/>
      <c r="T17" s="714"/>
      <c r="U17" s="715"/>
      <c r="V17" s="714"/>
      <c r="W17" s="715"/>
      <c r="X17" s="1541"/>
      <c r="Y17" s="3268"/>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68"/>
      <c r="Q18" s="1538" t="str">
        <f>B18</f>
        <v>基础设施水平</v>
      </c>
      <c r="R18" s="714" t="s">
        <v>17</v>
      </c>
      <c r="S18" s="715">
        <f>F18</f>
        <v>100</v>
      </c>
      <c r="T18" s="714" t="s">
        <v>17</v>
      </c>
      <c r="U18" s="715">
        <f>H18</f>
        <v>100</v>
      </c>
      <c r="V18" s="714" t="s">
        <v>17</v>
      </c>
      <c r="W18" s="715">
        <f>J18</f>
        <v>100</v>
      </c>
      <c r="X18" s="1541"/>
      <c r="Y18" s="326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68"/>
      <c r="Q19" s="1538"/>
      <c r="R19" s="714"/>
      <c r="S19" s="715"/>
      <c r="T19" s="714"/>
      <c r="U19" s="715"/>
      <c r="V19" s="714"/>
      <c r="W19" s="715"/>
      <c r="X19" s="1541"/>
      <c r="Y19" s="3268"/>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68"/>
      <c r="Q20" s="1538" t="str">
        <f>B20</f>
        <v>自然及人文环境</v>
      </c>
      <c r="R20" s="714" t="s">
        <v>17</v>
      </c>
      <c r="S20" s="715">
        <f>F20</f>
        <v>100</v>
      </c>
      <c r="T20" s="714" t="s">
        <v>17</v>
      </c>
      <c r="U20" s="715">
        <f>H20</f>
        <v>100</v>
      </c>
      <c r="V20" s="714" t="s">
        <v>17</v>
      </c>
      <c r="W20" s="715">
        <f>J20</f>
        <v>100</v>
      </c>
      <c r="X20" s="1541"/>
      <c r="Y20" s="326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68"/>
      <c r="Q21" s="1538"/>
      <c r="R21" s="714"/>
      <c r="S21" s="715"/>
      <c r="T21" s="714"/>
      <c r="U21" s="715"/>
      <c r="V21" s="714"/>
      <c r="W21" s="715"/>
      <c r="X21" s="1541"/>
      <c r="Y21" s="3268"/>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68"/>
      <c r="Q22" s="1538" t="str">
        <f>B22</f>
        <v>楼层</v>
      </c>
      <c r="R22" s="714" t="s">
        <v>17</v>
      </c>
      <c r="S22" s="715">
        <f>F22</f>
        <v>100</v>
      </c>
      <c r="T22" s="714" t="s">
        <v>17</v>
      </c>
      <c r="U22" s="715">
        <f>H22</f>
        <v>100</v>
      </c>
      <c r="V22" s="714" t="s">
        <v>17</v>
      </c>
      <c r="W22" s="715">
        <f>J22</f>
        <v>100</v>
      </c>
      <c r="X22" s="1541"/>
      <c r="Y22" s="326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68"/>
      <c r="Q23" s="1538">
        <f>B23</f>
        <v>111</v>
      </c>
      <c r="R23" s="714" t="s">
        <v>17</v>
      </c>
      <c r="S23" s="715">
        <f>F23</f>
        <v>100</v>
      </c>
      <c r="T23" s="714" t="s">
        <v>17</v>
      </c>
      <c r="U23" s="715">
        <f>H23</f>
        <v>100</v>
      </c>
      <c r="V23" s="714" t="s">
        <v>17</v>
      </c>
      <c r="W23" s="715">
        <f>J23</f>
        <v>100</v>
      </c>
      <c r="X23" s="1541"/>
      <c r="Y23" s="326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68"/>
      <c r="Q24" s="1538">
        <f t="shared" ref="Q24:Q34" si="11">B24</f>
        <v>111</v>
      </c>
      <c r="R24" s="714" t="s">
        <v>17</v>
      </c>
      <c r="S24" s="715">
        <f>F24</f>
        <v>100</v>
      </c>
      <c r="T24" s="714" t="s">
        <v>17</v>
      </c>
      <c r="U24" s="715">
        <f>H24</f>
        <v>100</v>
      </c>
      <c r="V24" s="714" t="s">
        <v>17</v>
      </c>
      <c r="W24" s="715">
        <f>J24</f>
        <v>100</v>
      </c>
      <c r="X24" s="1541"/>
      <c r="Y24" s="3268"/>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5"/>
      <c r="M25" s="2946"/>
      <c r="N25" s="2946"/>
      <c r="O25" s="3000"/>
      <c r="P25" s="3268"/>
      <c r="Q25" s="1529">
        <f t="shared" si="11"/>
        <v>111</v>
      </c>
      <c r="R25" s="710" t="s">
        <v>17</v>
      </c>
      <c r="S25" s="711">
        <f>F25</f>
        <v>100</v>
      </c>
      <c r="T25" s="710" t="s">
        <v>17</v>
      </c>
      <c r="U25" s="711">
        <f>H25</f>
        <v>100</v>
      </c>
      <c r="V25" s="710" t="s">
        <v>17</v>
      </c>
      <c r="W25" s="711">
        <f>J25</f>
        <v>100</v>
      </c>
      <c r="X25" s="712"/>
      <c r="Y25" s="3268"/>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0"/>
      <c r="M26" s="2944"/>
      <c r="N26" s="2944"/>
      <c r="O26" s="3002"/>
      <c r="P26" s="3323"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2"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72"/>
      <c r="Q27" s="716" t="str">
        <f t="shared" si="11"/>
        <v>成新率</v>
      </c>
      <c r="R27" s="717" t="s">
        <v>17</v>
      </c>
      <c r="S27" s="718" t="e">
        <f t="shared" si="12"/>
        <v>#N/A</v>
      </c>
      <c r="T27" s="717" t="s">
        <v>17</v>
      </c>
      <c r="U27" s="718" t="e">
        <f t="shared" si="13"/>
        <v>#N/A</v>
      </c>
      <c r="V27" s="717" t="s">
        <v>17</v>
      </c>
      <c r="W27" s="718" t="e">
        <f t="shared" si="14"/>
        <v>#N/A</v>
      </c>
      <c r="X27" s="719"/>
      <c r="Y27" s="3272"/>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72"/>
      <c r="Q28" s="1538" t="str">
        <f t="shared" si="11"/>
        <v>物业等级</v>
      </c>
      <c r="R28" s="714" t="s">
        <v>17</v>
      </c>
      <c r="S28" s="715">
        <f t="shared" si="12"/>
        <v>100</v>
      </c>
      <c r="T28" s="714" t="s">
        <v>17</v>
      </c>
      <c r="U28" s="715">
        <f t="shared" si="13"/>
        <v>100</v>
      </c>
      <c r="V28" s="714" t="s">
        <v>17</v>
      </c>
      <c r="W28" s="715">
        <f t="shared" si="14"/>
        <v>100</v>
      </c>
      <c r="X28" s="1541"/>
      <c r="Y28" s="3272"/>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72"/>
      <c r="Q29" s="1538" t="str">
        <f t="shared" si="11"/>
        <v>有无电梯</v>
      </c>
      <c r="R29" s="714" t="s">
        <v>17</v>
      </c>
      <c r="S29" s="715">
        <f t="shared" si="12"/>
        <v>100</v>
      </c>
      <c r="T29" s="714" t="s">
        <v>17</v>
      </c>
      <c r="U29" s="715">
        <f t="shared" si="13"/>
        <v>100</v>
      </c>
      <c r="V29" s="714" t="s">
        <v>17</v>
      </c>
      <c r="W29" s="715">
        <f t="shared" si="14"/>
        <v>100</v>
      </c>
      <c r="X29" s="1541"/>
      <c r="Y29" s="3272"/>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72"/>
      <c r="Q30" s="1538" t="str">
        <f t="shared" si="11"/>
        <v>建筑面积</v>
      </c>
      <c r="R30" s="714" t="s">
        <v>17</v>
      </c>
      <c r="S30" s="715" t="e">
        <f t="shared" si="12"/>
        <v>#N/A</v>
      </c>
      <c r="T30" s="714" t="s">
        <v>17</v>
      </c>
      <c r="U30" s="715" t="e">
        <f t="shared" si="13"/>
        <v>#N/A</v>
      </c>
      <c r="V30" s="714" t="s">
        <v>17</v>
      </c>
      <c r="W30" s="715" t="e">
        <f t="shared" si="14"/>
        <v>#N/A</v>
      </c>
      <c r="X30" s="1541"/>
      <c r="Y30" s="3272"/>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72"/>
      <c r="Q31" s="1529" t="str">
        <f t="shared" si="11"/>
        <v>是否封闭</v>
      </c>
      <c r="R31" s="710" t="s">
        <v>17</v>
      </c>
      <c r="S31" s="711">
        <f t="shared" si="12"/>
        <v>100</v>
      </c>
      <c r="T31" s="710" t="s">
        <v>17</v>
      </c>
      <c r="U31" s="711">
        <f t="shared" si="13"/>
        <v>100</v>
      </c>
      <c r="V31" s="710" t="s">
        <v>17</v>
      </c>
      <c r="W31" s="711">
        <f t="shared" si="14"/>
        <v>100</v>
      </c>
      <c r="X31" s="712"/>
      <c r="Y31" s="3272"/>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72" t="s">
        <v>2386</v>
      </c>
      <c r="Q32" s="1538">
        <f t="shared" si="11"/>
        <v>111</v>
      </c>
      <c r="R32" s="714" t="s">
        <v>17</v>
      </c>
      <c r="S32" s="715">
        <f t="shared" si="12"/>
        <v>100</v>
      </c>
      <c r="T32" s="714" t="s">
        <v>17</v>
      </c>
      <c r="U32" s="715">
        <f t="shared" si="13"/>
        <v>100</v>
      </c>
      <c r="V32" s="714" t="s">
        <v>17</v>
      </c>
      <c r="W32" s="715">
        <f t="shared" si="14"/>
        <v>100</v>
      </c>
      <c r="X32" s="1541"/>
      <c r="Y32" s="3272"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72"/>
      <c r="Q33" s="1538">
        <f t="shared" si="11"/>
        <v>111</v>
      </c>
      <c r="R33" s="714" t="s">
        <v>17</v>
      </c>
      <c r="S33" s="715">
        <f t="shared" si="12"/>
        <v>100</v>
      </c>
      <c r="T33" s="714" t="s">
        <v>17</v>
      </c>
      <c r="U33" s="715">
        <f t="shared" si="13"/>
        <v>100</v>
      </c>
      <c r="V33" s="714" t="s">
        <v>17</v>
      </c>
      <c r="W33" s="715">
        <f t="shared" si="14"/>
        <v>100</v>
      </c>
      <c r="X33" s="1541"/>
      <c r="Y33" s="3272"/>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0"/>
      <c r="M34" s="2944"/>
      <c r="N34" s="2944"/>
      <c r="O34" s="3002"/>
      <c r="P34" s="3272"/>
      <c r="Q34" s="1538">
        <f t="shared" si="11"/>
        <v>111</v>
      </c>
      <c r="R34" s="714" t="s">
        <v>17</v>
      </c>
      <c r="S34" s="715">
        <f t="shared" si="12"/>
        <v>100</v>
      </c>
      <c r="T34" s="714" t="s">
        <v>17</v>
      </c>
      <c r="U34" s="715">
        <f t="shared" si="13"/>
        <v>100</v>
      </c>
      <c r="V34" s="714" t="s">
        <v>17</v>
      </c>
      <c r="W34" s="715">
        <f t="shared" si="14"/>
        <v>100</v>
      </c>
      <c r="X34" s="1541"/>
      <c r="Y34" s="3272"/>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2"/>
      <c r="M35" s="2953"/>
      <c r="N35" s="2944"/>
      <c r="O35" s="2953"/>
      <c r="P35" s="3265" t="str">
        <f>A35</f>
        <v>成交单价（元/平方米）</v>
      </c>
      <c r="Q35" s="3265"/>
      <c r="R35" s="3266">
        <f>E35</f>
        <v>0</v>
      </c>
      <c r="S35" s="3266"/>
      <c r="T35" s="3266">
        <f>G35</f>
        <v>0</v>
      </c>
      <c r="U35" s="3266"/>
      <c r="V35" s="3266">
        <f>I35</f>
        <v>0</v>
      </c>
      <c r="W35" s="3266"/>
      <c r="X35" s="699"/>
      <c r="Y35" s="721"/>
      <c r="Z35" s="699"/>
      <c r="AA35" s="699"/>
      <c r="AB35" s="699"/>
      <c r="AC35" s="699"/>
    </row>
    <row r="36" spans="1:30" ht="15.75" thickBot="1">
      <c r="A36" s="445" t="s">
        <v>2490</v>
      </c>
      <c r="B36" s="446"/>
      <c r="C36" s="1322" t="e">
        <f>R37</f>
        <v>#DIV/0!</v>
      </c>
      <c r="D36" s="2540" t="s">
        <v>2881</v>
      </c>
      <c r="E36" s="1323" t="e">
        <f>R36</f>
        <v>#DIV/0!</v>
      </c>
      <c r="F36" s="2541"/>
      <c r="G36" s="1322" t="e">
        <f>T36</f>
        <v>#DIV/0!</v>
      </c>
      <c r="H36" s="2541"/>
      <c r="I36" s="1323" t="e">
        <f>V36</f>
        <v>#DIV/0!</v>
      </c>
      <c r="J36" s="2541"/>
      <c r="K36" s="2543">
        <f>F36+H36+J36</f>
        <v>0</v>
      </c>
      <c r="L36" s="2952"/>
      <c r="M36" s="2953"/>
      <c r="N36" s="2944"/>
      <c r="O36" s="2953"/>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62" t="str">
        <f>A37</f>
        <v>估价对象XX用房的比较价值（楼面单价，元/平方米）</v>
      </c>
      <c r="Q37" s="3263"/>
      <c r="R37" s="3324" t="e">
        <f>IF(F1="售价",ROUND(IF(D36="简单平均",AVERAGE(R36:W36),R36*F36+T36*H36+V36*J36),0),ROUND(IF(D36="简单平均",AVERAGE(R36:V36),R36*F36+T36*H36+V36*J36),1))</f>
        <v>#DIV/0!</v>
      </c>
      <c r="S37" s="3324"/>
      <c r="T37" s="3324"/>
      <c r="U37" s="3324"/>
      <c r="V37" s="3324"/>
      <c r="W37" s="332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80" t="s">
        <v>2467</v>
      </c>
      <c r="D4" s="3281"/>
      <c r="E4" s="3282" t="s">
        <v>2468</v>
      </c>
      <c r="F4" s="3283"/>
      <c r="G4" s="3280" t="s">
        <v>2469</v>
      </c>
      <c r="H4" s="3281"/>
      <c r="I4" s="3280" t="s">
        <v>2470</v>
      </c>
      <c r="J4" s="3281"/>
      <c r="K4" s="567" t="s">
        <v>2471</v>
      </c>
      <c r="L4" s="2943"/>
      <c r="M4" s="2944"/>
      <c r="N4" s="2944"/>
      <c r="O4" s="2944"/>
      <c r="P4" s="3284" t="s">
        <v>2472</v>
      </c>
      <c r="Q4" s="3285"/>
      <c r="R4" s="3290" t="s">
        <v>2468</v>
      </c>
      <c r="S4" s="3291"/>
      <c r="T4" s="3290" t="s">
        <v>2469</v>
      </c>
      <c r="U4" s="3291"/>
      <c r="V4" s="3296" t="s">
        <v>2470</v>
      </c>
      <c r="W4" s="3296"/>
      <c r="X4" s="1541"/>
      <c r="Y4" s="3290" t="s">
        <v>2472</v>
      </c>
      <c r="Z4" s="3291"/>
      <c r="AA4" s="3277" t="s">
        <v>2468</v>
      </c>
      <c r="AB4" s="3278" t="s">
        <v>2469</v>
      </c>
      <c r="AC4" s="3277" t="s">
        <v>2470</v>
      </c>
    </row>
    <row r="5" spans="1:30" ht="15">
      <c r="A5" s="364"/>
      <c r="B5" s="365"/>
      <c r="C5" s="3299" t="s">
        <v>2363</v>
      </c>
      <c r="D5" s="3300"/>
      <c r="E5" s="3306" t="s">
        <v>2364</v>
      </c>
      <c r="F5" s="3307"/>
      <c r="G5" s="3299" t="s">
        <v>2365</v>
      </c>
      <c r="H5" s="3300"/>
      <c r="I5" s="3299" t="s">
        <v>2366</v>
      </c>
      <c r="J5" s="3300"/>
      <c r="K5" s="567"/>
      <c r="L5" s="2943"/>
      <c r="M5" s="2944"/>
      <c r="N5" s="2944"/>
      <c r="O5" s="2944"/>
      <c r="P5" s="3286"/>
      <c r="Q5" s="3287"/>
      <c r="R5" s="3292"/>
      <c r="S5" s="3293"/>
      <c r="T5" s="3292"/>
      <c r="U5" s="3293"/>
      <c r="V5" s="3296"/>
      <c r="W5" s="3296"/>
      <c r="X5" s="1541"/>
      <c r="Y5" s="3292"/>
      <c r="Z5" s="3293"/>
      <c r="AA5" s="3278"/>
      <c r="AB5" s="3278"/>
      <c r="AC5" s="3278"/>
    </row>
    <row r="6" spans="1:30" ht="15.75" thickBot="1">
      <c r="A6" s="366"/>
      <c r="B6" s="367"/>
      <c r="C6" s="3297" t="s">
        <v>2367</v>
      </c>
      <c r="D6" s="3298"/>
      <c r="E6" s="3304" t="s">
        <v>2367</v>
      </c>
      <c r="F6" s="3305"/>
      <c r="G6" s="3297" t="s">
        <v>2367</v>
      </c>
      <c r="H6" s="3298"/>
      <c r="I6" s="3297" t="s">
        <v>2367</v>
      </c>
      <c r="J6" s="3298"/>
      <c r="K6" s="567" t="s">
        <v>2368</v>
      </c>
      <c r="L6" s="2943"/>
      <c r="M6" s="2944"/>
      <c r="N6" s="2944"/>
      <c r="O6" s="2944"/>
      <c r="P6" s="3288"/>
      <c r="Q6" s="3289"/>
      <c r="R6" s="3292"/>
      <c r="S6" s="3293"/>
      <c r="T6" s="3294"/>
      <c r="U6" s="3295"/>
      <c r="V6" s="3296"/>
      <c r="W6" s="3296"/>
      <c r="X6" s="1541"/>
      <c r="Y6" s="3294"/>
      <c r="Z6" s="3295"/>
      <c r="AA6" s="3279"/>
      <c r="AB6" s="3279"/>
      <c r="AC6" s="3279"/>
    </row>
    <row r="7" spans="1:30" s="113" customFormat="1" ht="15.75" thickBot="1">
      <c r="A7" s="368" t="s">
        <v>2369</v>
      </c>
      <c r="B7" s="369"/>
      <c r="C7" s="370">
        <f>'数据-取费表'!B2</f>
        <v>44187</v>
      </c>
      <c r="D7" s="371">
        <v>100</v>
      </c>
      <c r="E7" s="372"/>
      <c r="F7" s="373">
        <f>SUMIF(70:70,YEAR(E7)&amp;"-"&amp;INT((MONTH(E7)+2)/3),71:71)</f>
        <v>0</v>
      </c>
      <c r="G7" s="2162"/>
      <c r="H7" s="371">
        <f>SUMIF(70:70,YEAR(G7)&amp;"-"&amp;INT((MONTH(G7)+2)/3),71:71)</f>
        <v>0</v>
      </c>
      <c r="I7" s="2162"/>
      <c r="J7" s="371">
        <f>SUMIF(70:70,YEAR(I7)&amp;"-"&amp;INT((MONTH(I7)+2)/3),71:71)</f>
        <v>0</v>
      </c>
      <c r="K7" s="568"/>
      <c r="L7" s="2945"/>
      <c r="M7" s="2946"/>
      <c r="N7" s="2946"/>
      <c r="O7" s="2946"/>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5"/>
      <c r="M9" s="2946"/>
      <c r="N9" s="2946"/>
      <c r="O9" s="3000"/>
      <c r="P9" s="3265"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t="e">
        <f>ROUND(100/'数据-取费表'!G16,0)</f>
        <v>#DIV/0!</v>
      </c>
      <c r="G10" s="422"/>
      <c r="H10" s="132" t="e">
        <f>ROUND(100/'数据-取费表'!G16,0)</f>
        <v>#DIV/0!</v>
      </c>
      <c r="I10" s="422"/>
      <c r="J10" s="132" t="e">
        <f>ROUND(100/'数据-取费表'!G16,0)</f>
        <v>#DIV/0!</v>
      </c>
      <c r="K10" s="628"/>
      <c r="L10" s="2947"/>
      <c r="M10" s="2948"/>
      <c r="N10" s="2948"/>
      <c r="O10" s="3001"/>
      <c r="P10" s="3265"/>
      <c r="Q10" s="1529" t="str">
        <f t="shared" si="6"/>
        <v>土地使用年限（年）</v>
      </c>
      <c r="R10" s="710" t="s">
        <v>17</v>
      </c>
      <c r="S10" s="711" t="e">
        <f t="shared" si="0"/>
        <v>#DIV/0!</v>
      </c>
      <c r="T10" s="710" t="s">
        <v>17</v>
      </c>
      <c r="U10" s="711" t="e">
        <f t="shared" si="1"/>
        <v>#DIV/0!</v>
      </c>
      <c r="V10" s="710" t="s">
        <v>17</v>
      </c>
      <c r="W10" s="711" t="e">
        <f t="shared" si="2"/>
        <v>#DIV/0!</v>
      </c>
      <c r="X10" s="712"/>
      <c r="Y10" s="3135"/>
      <c r="Z10" s="55" t="str">
        <f t="shared" si="7"/>
        <v>土地使用年限（年）</v>
      </c>
      <c r="AA10" s="713" t="e">
        <f t="shared" si="3"/>
        <v>#DIV/0!</v>
      </c>
      <c r="AB10" s="713" t="e">
        <f t="shared" si="4"/>
        <v>#DIV/0!</v>
      </c>
      <c r="AC10" s="713" t="e">
        <f t="shared" si="5"/>
        <v>#DIV/0!</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5"/>
      <c r="Q11" s="1529" t="str">
        <f t="shared" si="6"/>
        <v>容积率</v>
      </c>
      <c r="R11" s="710" t="s">
        <v>17</v>
      </c>
      <c r="S11" s="711" t="e">
        <f t="shared" si="0"/>
        <v>#N/A</v>
      </c>
      <c r="T11" s="710" t="s">
        <v>17</v>
      </c>
      <c r="U11" s="711" t="e">
        <f t="shared" si="1"/>
        <v>#N/A</v>
      </c>
      <c r="V11" s="710" t="s">
        <v>17</v>
      </c>
      <c r="W11" s="711" t="e">
        <f t="shared" si="2"/>
        <v>#N/A</v>
      </c>
      <c r="X11" s="712"/>
      <c r="Y11" s="3135"/>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5"/>
      <c r="Q12" s="1529" t="str">
        <f t="shared" si="6"/>
        <v>配建</v>
      </c>
      <c r="R12" s="710" t="s">
        <v>17</v>
      </c>
      <c r="S12" s="711">
        <f t="shared" si="0"/>
        <v>100</v>
      </c>
      <c r="T12" s="710" t="s">
        <v>17</v>
      </c>
      <c r="U12" s="711">
        <f t="shared" si="1"/>
        <v>100</v>
      </c>
      <c r="V12" s="710" t="s">
        <v>17</v>
      </c>
      <c r="W12" s="711">
        <f t="shared" si="2"/>
        <v>100</v>
      </c>
      <c r="X12" s="712"/>
      <c r="Y12" s="313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5"/>
      <c r="Q13" s="1529">
        <f t="shared" si="6"/>
        <v>111</v>
      </c>
      <c r="R13" s="710" t="s">
        <v>17</v>
      </c>
      <c r="S13" s="711">
        <f t="shared" si="0"/>
        <v>100</v>
      </c>
      <c r="T13" s="710" t="s">
        <v>17</v>
      </c>
      <c r="U13" s="711">
        <f t="shared" si="1"/>
        <v>100</v>
      </c>
      <c r="V13" s="710" t="s">
        <v>17</v>
      </c>
      <c r="W13" s="711">
        <f t="shared" si="2"/>
        <v>100</v>
      </c>
      <c r="X13" s="712"/>
      <c r="Y13" s="313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5"/>
      <c r="Q14" s="1529">
        <f t="shared" si="6"/>
        <v>111</v>
      </c>
      <c r="R14" s="710" t="s">
        <v>17</v>
      </c>
      <c r="S14" s="711">
        <f t="shared" si="0"/>
        <v>100</v>
      </c>
      <c r="T14" s="710" t="s">
        <v>17</v>
      </c>
      <c r="U14" s="711">
        <f t="shared" si="1"/>
        <v>100</v>
      </c>
      <c r="V14" s="710" t="s">
        <v>17</v>
      </c>
      <c r="W14" s="711">
        <f t="shared" si="2"/>
        <v>100</v>
      </c>
      <c r="X14" s="712"/>
      <c r="Y14" s="3135"/>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67" t="s">
        <v>2381</v>
      </c>
      <c r="Q15" s="1538" t="str">
        <f t="shared" si="6"/>
        <v>居住社区成熟度</v>
      </c>
      <c r="R15" s="714" t="s">
        <v>17</v>
      </c>
      <c r="S15" s="715">
        <f t="shared" si="0"/>
        <v>100</v>
      </c>
      <c r="T15" s="714" t="s">
        <v>17</v>
      </c>
      <c r="U15" s="715">
        <f t="shared" si="1"/>
        <v>100</v>
      </c>
      <c r="V15" s="714" t="s">
        <v>17</v>
      </c>
      <c r="W15" s="715">
        <f t="shared" si="2"/>
        <v>100</v>
      </c>
      <c r="X15" s="1541"/>
      <c r="Y15" s="3267"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68"/>
      <c r="Q16" s="1538"/>
      <c r="R16" s="714"/>
      <c r="S16" s="715"/>
      <c r="T16" s="714"/>
      <c r="U16" s="715"/>
      <c r="V16" s="714"/>
      <c r="W16" s="715"/>
      <c r="X16" s="1541"/>
      <c r="Y16" s="3268"/>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68"/>
      <c r="Q17" s="1538" t="str">
        <f>B17</f>
        <v>商业繁华度</v>
      </c>
      <c r="R17" s="714" t="s">
        <v>17</v>
      </c>
      <c r="S17" s="715">
        <f>F17</f>
        <v>100</v>
      </c>
      <c r="T17" s="714" t="s">
        <v>17</v>
      </c>
      <c r="U17" s="715">
        <f>H17</f>
        <v>100</v>
      </c>
      <c r="V17" s="714" t="s">
        <v>17</v>
      </c>
      <c r="W17" s="715">
        <f>J17</f>
        <v>100</v>
      </c>
      <c r="X17" s="1541"/>
      <c r="Y17" s="3268"/>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68"/>
      <c r="Q18" s="1538"/>
      <c r="R18" s="714"/>
      <c r="S18" s="715"/>
      <c r="T18" s="714"/>
      <c r="U18" s="715"/>
      <c r="V18" s="714"/>
      <c r="W18" s="715"/>
      <c r="X18" s="1541"/>
      <c r="Y18" s="3268"/>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68"/>
      <c r="Q19" s="1538" t="str">
        <f>B19</f>
        <v>办公集聚程度</v>
      </c>
      <c r="R19" s="714" t="s">
        <v>17</v>
      </c>
      <c r="S19" s="715">
        <f>F19</f>
        <v>100</v>
      </c>
      <c r="T19" s="714" t="s">
        <v>17</v>
      </c>
      <c r="U19" s="715">
        <f>H19</f>
        <v>100</v>
      </c>
      <c r="V19" s="714" t="s">
        <v>17</v>
      </c>
      <c r="W19" s="715">
        <f>J19</f>
        <v>100</v>
      </c>
      <c r="X19" s="1541"/>
      <c r="Y19" s="326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68"/>
      <c r="Q20" s="1538"/>
      <c r="R20" s="714"/>
      <c r="S20" s="715"/>
      <c r="T20" s="714"/>
      <c r="U20" s="715"/>
      <c r="V20" s="714"/>
      <c r="W20" s="715"/>
      <c r="X20" s="1541"/>
      <c r="Y20" s="3268"/>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68"/>
      <c r="Q21" s="1538" t="str">
        <f>B21</f>
        <v>交通便捷度</v>
      </c>
      <c r="R21" s="714" t="s">
        <v>17</v>
      </c>
      <c r="S21" s="715">
        <f>F21</f>
        <v>100</v>
      </c>
      <c r="T21" s="714" t="s">
        <v>17</v>
      </c>
      <c r="U21" s="715">
        <f>H21</f>
        <v>100</v>
      </c>
      <c r="V21" s="714" t="s">
        <v>17</v>
      </c>
      <c r="W21" s="715">
        <f>J21</f>
        <v>100</v>
      </c>
      <c r="X21" s="1541"/>
      <c r="Y21" s="3268"/>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68"/>
      <c r="Q22" s="1538"/>
      <c r="R22" s="714"/>
      <c r="S22" s="715"/>
      <c r="T22" s="714"/>
      <c r="U22" s="715"/>
      <c r="V22" s="714"/>
      <c r="W22" s="715"/>
      <c r="X22" s="1541"/>
      <c r="Y22" s="3268"/>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68"/>
      <c r="Q23" s="1538" t="str">
        <f t="shared" ref="Q23:Q37" si="8">B23</f>
        <v>区域土地利用方向</v>
      </c>
      <c r="R23" s="714" t="s">
        <v>17</v>
      </c>
      <c r="S23" s="715">
        <f>F23</f>
        <v>100</v>
      </c>
      <c r="T23" s="714" t="s">
        <v>17</v>
      </c>
      <c r="U23" s="715">
        <f>H23</f>
        <v>100</v>
      </c>
      <c r="V23" s="714" t="s">
        <v>17</v>
      </c>
      <c r="W23" s="715">
        <f>J23</f>
        <v>100</v>
      </c>
      <c r="X23" s="1541"/>
      <c r="Y23" s="3268"/>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68"/>
      <c r="Q24" s="1538"/>
      <c r="R24" s="714"/>
      <c r="S24" s="715"/>
      <c r="T24" s="714"/>
      <c r="U24" s="715"/>
      <c r="V24" s="714"/>
      <c r="W24" s="715"/>
      <c r="X24" s="1541"/>
      <c r="Y24" s="3268"/>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68"/>
      <c r="Q25" s="1538" t="str">
        <f t="shared" si="8"/>
        <v>自然及人文环境状况</v>
      </c>
      <c r="R25" s="714" t="s">
        <v>17</v>
      </c>
      <c r="S25" s="715">
        <f>F25</f>
        <v>100</v>
      </c>
      <c r="T25" s="714" t="s">
        <v>17</v>
      </c>
      <c r="U25" s="715">
        <f>H25</f>
        <v>100</v>
      </c>
      <c r="V25" s="714" t="s">
        <v>17</v>
      </c>
      <c r="W25" s="715">
        <f>J25</f>
        <v>100</v>
      </c>
      <c r="X25" s="1541"/>
      <c r="Y25" s="3268"/>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68"/>
      <c r="Q26" s="1538"/>
      <c r="R26" s="714"/>
      <c r="S26" s="715"/>
      <c r="T26" s="714"/>
      <c r="U26" s="715"/>
      <c r="V26" s="714"/>
      <c r="W26" s="715"/>
      <c r="X26" s="1541"/>
      <c r="Y26" s="3268"/>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68"/>
      <c r="Q27" s="1529" t="str">
        <f t="shared" si="8"/>
        <v>公共配套设施</v>
      </c>
      <c r="R27" s="710" t="s">
        <v>17</v>
      </c>
      <c r="S27" s="711">
        <f>F27</f>
        <v>100</v>
      </c>
      <c r="T27" s="710" t="s">
        <v>17</v>
      </c>
      <c r="U27" s="711">
        <f>H27</f>
        <v>100</v>
      </c>
      <c r="V27" s="710" t="s">
        <v>17</v>
      </c>
      <c r="W27" s="711">
        <f>J27</f>
        <v>100</v>
      </c>
      <c r="X27" s="712"/>
      <c r="Y27" s="3268"/>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5"/>
      <c r="M28" s="2946"/>
      <c r="N28" s="2946"/>
      <c r="O28" s="3000"/>
      <c r="P28" s="3268"/>
      <c r="Q28" s="1529"/>
      <c r="R28" s="710"/>
      <c r="S28" s="711"/>
      <c r="T28" s="710"/>
      <c r="U28" s="711"/>
      <c r="V28" s="710"/>
      <c r="W28" s="711"/>
      <c r="X28" s="712"/>
      <c r="Y28" s="3268"/>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68"/>
      <c r="Q29" s="1529" t="str">
        <f t="shared" ref="Q29" si="9">B29</f>
        <v>基础设施水平</v>
      </c>
      <c r="R29" s="710" t="s">
        <v>17</v>
      </c>
      <c r="S29" s="711">
        <f>F29</f>
        <v>100</v>
      </c>
      <c r="T29" s="710" t="s">
        <v>17</v>
      </c>
      <c r="U29" s="711">
        <f>H29</f>
        <v>100</v>
      </c>
      <c r="V29" s="710" t="s">
        <v>17</v>
      </c>
      <c r="W29" s="711">
        <f>J29</f>
        <v>100</v>
      </c>
      <c r="X29" s="712"/>
      <c r="Y29" s="3268"/>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5"/>
      <c r="M30" s="2946"/>
      <c r="N30" s="2946"/>
      <c r="O30" s="3000"/>
      <c r="P30" s="3268"/>
      <c r="Q30" s="1529"/>
      <c r="R30" s="710"/>
      <c r="S30" s="711"/>
      <c r="T30" s="710"/>
      <c r="U30" s="711"/>
      <c r="V30" s="710"/>
      <c r="W30" s="711"/>
      <c r="X30" s="712"/>
      <c r="Y30" s="3268"/>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6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68"/>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68"/>
      <c r="Q32" s="1538" t="str">
        <f t="shared" si="8"/>
        <v>毗邻道路的类型与等级</v>
      </c>
      <c r="R32" s="714" t="s">
        <v>17</v>
      </c>
      <c r="S32" s="715">
        <f t="shared" si="10"/>
        <v>100</v>
      </c>
      <c r="T32" s="714" t="s">
        <v>17</v>
      </c>
      <c r="U32" s="715">
        <f t="shared" si="11"/>
        <v>100</v>
      </c>
      <c r="V32" s="714" t="s">
        <v>17</v>
      </c>
      <c r="W32" s="715">
        <f t="shared" si="12"/>
        <v>100</v>
      </c>
      <c r="X32" s="1541"/>
      <c r="Y32" s="326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68"/>
      <c r="Q33" s="1538"/>
      <c r="R33" s="714"/>
      <c r="S33" s="715"/>
      <c r="T33" s="714"/>
      <c r="U33" s="715"/>
      <c r="V33" s="714"/>
      <c r="W33" s="715"/>
      <c r="X33" s="1541"/>
      <c r="Y33" s="3268"/>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68"/>
      <c r="Q34" s="1538" t="str">
        <f t="shared" si="8"/>
        <v>土地级别</v>
      </c>
      <c r="R34" s="714" t="s">
        <v>17</v>
      </c>
      <c r="S34" s="715">
        <f t="shared" si="10"/>
        <v>100</v>
      </c>
      <c r="T34" s="714" t="s">
        <v>17</v>
      </c>
      <c r="U34" s="715">
        <f t="shared" si="11"/>
        <v>100</v>
      </c>
      <c r="V34" s="714" t="s">
        <v>17</v>
      </c>
      <c r="W34" s="715">
        <f t="shared" si="12"/>
        <v>100</v>
      </c>
      <c r="X34" s="1541"/>
      <c r="Y34" s="326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68"/>
      <c r="Q35" s="1538">
        <f t="shared" si="8"/>
        <v>111</v>
      </c>
      <c r="R35" s="714" t="s">
        <v>17</v>
      </c>
      <c r="S35" s="715">
        <f t="shared" si="10"/>
        <v>100</v>
      </c>
      <c r="T35" s="714" t="s">
        <v>17</v>
      </c>
      <c r="U35" s="715">
        <f t="shared" si="11"/>
        <v>100</v>
      </c>
      <c r="V35" s="714" t="s">
        <v>17</v>
      </c>
      <c r="W35" s="715">
        <f t="shared" si="12"/>
        <v>100</v>
      </c>
      <c r="X35" s="1541"/>
      <c r="Y35" s="326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23" t="s">
        <v>2386</v>
      </c>
      <c r="Q36" s="1538">
        <f t="shared" si="8"/>
        <v>111</v>
      </c>
      <c r="R36" s="714" t="s">
        <v>17</v>
      </c>
      <c r="S36" s="715">
        <f t="shared" si="10"/>
        <v>100</v>
      </c>
      <c r="T36" s="714" t="s">
        <v>17</v>
      </c>
      <c r="U36" s="715">
        <f t="shared" si="11"/>
        <v>100</v>
      </c>
      <c r="V36" s="714" t="s">
        <v>17</v>
      </c>
      <c r="W36" s="715">
        <f t="shared" si="12"/>
        <v>100</v>
      </c>
      <c r="X36" s="1541"/>
      <c r="Y36" s="3272"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72"/>
      <c r="Q37" s="1538">
        <f t="shared" si="8"/>
        <v>111</v>
      </c>
      <c r="R37" s="717" t="s">
        <v>17</v>
      </c>
      <c r="S37" s="718">
        <f t="shared" si="10"/>
        <v>100</v>
      </c>
      <c r="T37" s="717" t="s">
        <v>17</v>
      </c>
      <c r="U37" s="718">
        <f t="shared" si="11"/>
        <v>100</v>
      </c>
      <c r="V37" s="717" t="s">
        <v>17</v>
      </c>
      <c r="W37" s="718">
        <f t="shared" si="12"/>
        <v>100</v>
      </c>
      <c r="X37" s="719"/>
      <c r="Y37" s="3272"/>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72"/>
      <c r="Q38" s="1538" t="str">
        <f>B38</f>
        <v>宗地面积</v>
      </c>
      <c r="R38" s="714" t="s">
        <v>17</v>
      </c>
      <c r="S38" s="715" t="e">
        <f t="shared" si="10"/>
        <v>#N/A</v>
      </c>
      <c r="T38" s="714" t="s">
        <v>17</v>
      </c>
      <c r="U38" s="715" t="e">
        <f t="shared" si="11"/>
        <v>#N/A</v>
      </c>
      <c r="V38" s="714" t="s">
        <v>17</v>
      </c>
      <c r="W38" s="715" t="e">
        <f t="shared" si="12"/>
        <v>#N/A</v>
      </c>
      <c r="X38" s="1541"/>
      <c r="Y38" s="3272"/>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272"/>
      <c r="Q39" s="1538" t="str">
        <f t="shared" ref="Q39:Q45" si="14">B39</f>
        <v>宗地形状</v>
      </c>
      <c r="R39" s="714" t="s">
        <v>17</v>
      </c>
      <c r="S39" s="715">
        <f t="shared" si="10"/>
        <v>100</v>
      </c>
      <c r="T39" s="714" t="s">
        <v>17</v>
      </c>
      <c r="U39" s="715">
        <f t="shared" si="11"/>
        <v>100</v>
      </c>
      <c r="V39" s="714" t="s">
        <v>17</v>
      </c>
      <c r="W39" s="715">
        <f t="shared" si="12"/>
        <v>100</v>
      </c>
      <c r="X39" s="1541"/>
      <c r="Y39" s="3272"/>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272"/>
      <c r="Q40" s="1538" t="str">
        <f t="shared" si="14"/>
        <v>临街宽度及深度</v>
      </c>
      <c r="R40" s="714" t="s">
        <v>17</v>
      </c>
      <c r="S40" s="715">
        <f t="shared" si="10"/>
        <v>100</v>
      </c>
      <c r="T40" s="714" t="s">
        <v>17</v>
      </c>
      <c r="U40" s="715">
        <f t="shared" si="11"/>
        <v>100</v>
      </c>
      <c r="V40" s="714" t="s">
        <v>17</v>
      </c>
      <c r="W40" s="715">
        <f t="shared" si="12"/>
        <v>100</v>
      </c>
      <c r="X40" s="1541"/>
      <c r="Y40" s="3272"/>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5"/>
      <c r="M41" s="2946"/>
      <c r="N41" s="2946"/>
      <c r="O41" s="3000"/>
      <c r="P41" s="3272"/>
      <c r="Q41" s="1538" t="str">
        <f t="shared" si="14"/>
        <v>宗地开发程度</v>
      </c>
      <c r="R41" s="710" t="s">
        <v>17</v>
      </c>
      <c r="S41" s="711">
        <f t="shared" si="10"/>
        <v>100</v>
      </c>
      <c r="T41" s="710" t="s">
        <v>17</v>
      </c>
      <c r="U41" s="711">
        <f t="shared" si="11"/>
        <v>100</v>
      </c>
      <c r="V41" s="710" t="s">
        <v>17</v>
      </c>
      <c r="W41" s="711">
        <f t="shared" si="12"/>
        <v>100</v>
      </c>
      <c r="X41" s="712"/>
      <c r="Y41" s="3272"/>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272" t="s">
        <v>2386</v>
      </c>
      <c r="Q42" s="1538" t="str">
        <f t="shared" si="14"/>
        <v>工程地质条件</v>
      </c>
      <c r="R42" s="714" t="s">
        <v>17</v>
      </c>
      <c r="S42" s="715">
        <f t="shared" si="10"/>
        <v>100</v>
      </c>
      <c r="T42" s="714" t="s">
        <v>17</v>
      </c>
      <c r="U42" s="715">
        <f t="shared" si="11"/>
        <v>100</v>
      </c>
      <c r="V42" s="714" t="s">
        <v>17</v>
      </c>
      <c r="W42" s="715">
        <f t="shared" si="12"/>
        <v>100</v>
      </c>
      <c r="X42" s="1541"/>
      <c r="Y42" s="3272"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72"/>
      <c r="Q43" s="1538">
        <f t="shared" si="14"/>
        <v>111</v>
      </c>
      <c r="R43" s="714" t="s">
        <v>17</v>
      </c>
      <c r="S43" s="715">
        <f t="shared" si="10"/>
        <v>100</v>
      </c>
      <c r="T43" s="714" t="s">
        <v>17</v>
      </c>
      <c r="U43" s="715">
        <f t="shared" si="11"/>
        <v>100</v>
      </c>
      <c r="V43" s="714" t="s">
        <v>17</v>
      </c>
      <c r="W43" s="715">
        <f t="shared" si="12"/>
        <v>100</v>
      </c>
      <c r="X43" s="1541"/>
      <c r="Y43" s="3272"/>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72"/>
      <c r="Q44" s="1538">
        <f t="shared" si="14"/>
        <v>111</v>
      </c>
      <c r="R44" s="714" t="s">
        <v>17</v>
      </c>
      <c r="S44" s="715">
        <f t="shared" si="10"/>
        <v>100</v>
      </c>
      <c r="T44" s="714" t="s">
        <v>17</v>
      </c>
      <c r="U44" s="715">
        <f t="shared" si="11"/>
        <v>100</v>
      </c>
      <c r="V44" s="714" t="s">
        <v>17</v>
      </c>
      <c r="W44" s="715">
        <f t="shared" si="12"/>
        <v>100</v>
      </c>
      <c r="X44" s="1541"/>
      <c r="Y44" s="3272"/>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72"/>
      <c r="Q45" s="1538">
        <f t="shared" si="14"/>
        <v>111</v>
      </c>
      <c r="R45" s="717" t="s">
        <v>17</v>
      </c>
      <c r="S45" s="718">
        <f t="shared" si="10"/>
        <v>100</v>
      </c>
      <c r="T45" s="717" t="s">
        <v>17</v>
      </c>
      <c r="U45" s="718">
        <f t="shared" si="11"/>
        <v>100</v>
      </c>
      <c r="V45" s="717" t="s">
        <v>17</v>
      </c>
      <c r="W45" s="718">
        <f t="shared" si="12"/>
        <v>100</v>
      </c>
      <c r="X45" s="719"/>
      <c r="Y45" s="3272"/>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2"/>
      <c r="M46" s="2953"/>
      <c r="N46" s="2944"/>
      <c r="O46" s="2953"/>
      <c r="P46" s="3265" t="str">
        <f>A46</f>
        <v>成交单价</v>
      </c>
      <c r="Q46" s="3265"/>
      <c r="R46" s="3296">
        <f>E46</f>
        <v>0</v>
      </c>
      <c r="S46" s="3296"/>
      <c r="T46" s="3296">
        <f>G46</f>
        <v>0</v>
      </c>
      <c r="U46" s="3296"/>
      <c r="V46" s="3296">
        <f>I46</f>
        <v>0</v>
      </c>
      <c r="W46" s="3296"/>
      <c r="X46" s="699"/>
      <c r="Y46" s="721"/>
      <c r="Z46" s="699"/>
      <c r="AA46" s="699"/>
      <c r="AB46" s="699"/>
      <c r="AC46" s="699"/>
    </row>
    <row r="47" spans="1:29" ht="15.75" thickBot="1">
      <c r="A47" s="445" t="s">
        <v>2490</v>
      </c>
      <c r="B47" s="639"/>
      <c r="C47" s="448" t="e">
        <f>R48</f>
        <v>#DIV/0!</v>
      </c>
      <c r="D47" s="2540" t="s">
        <v>2881</v>
      </c>
      <c r="E47" s="448" t="e">
        <f>R47</f>
        <v>#DIV/0!</v>
      </c>
      <c r="F47" s="2541"/>
      <c r="G47" s="447" t="e">
        <f>T47</f>
        <v>#DIV/0!</v>
      </c>
      <c r="H47" s="2541"/>
      <c r="I47" s="448" t="e">
        <f>V47</f>
        <v>#DIV/0!</v>
      </c>
      <c r="J47" s="2541"/>
      <c r="K47" s="2543">
        <f>F47+H47+J47</f>
        <v>0</v>
      </c>
      <c r="L47" s="2952"/>
      <c r="M47" s="2953"/>
      <c r="N47" s="2953"/>
      <c r="O47" s="2953"/>
      <c r="P47" s="3265" t="str">
        <f>A47</f>
        <v>比较价值（元/平方米）</v>
      </c>
      <c r="Q47" s="3265"/>
      <c r="R47" s="3325" t="e">
        <f>ROUND(PRODUCT(R46,AA7:AA45),0)</f>
        <v>#DIV/0!</v>
      </c>
      <c r="S47" s="3325"/>
      <c r="T47" s="3325" t="e">
        <f>ROUND(PRODUCT(T46,AB7:AB45),0)</f>
        <v>#DIV/0!</v>
      </c>
      <c r="U47" s="3325"/>
      <c r="V47" s="3325" t="e">
        <f>ROUND(PRODUCT(V46,AC7:AC45),0)</f>
        <v>#DIV/0!</v>
      </c>
      <c r="W47" s="332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262" t="str">
        <f>A48</f>
        <v>估价对象XX用房的比较价值（楼面单价，元/平方米）</v>
      </c>
      <c r="Q48" s="3263"/>
      <c r="R48" s="3326" t="e">
        <f>ROUND(IF(D47="简单平均",AVERAGE(R47:W47),R47*F47+T47*H47+V47*J47),0)</f>
        <v>#DIV/0!</v>
      </c>
      <c r="S48" s="3326"/>
      <c r="T48" s="3326"/>
      <c r="U48" s="3326"/>
      <c r="V48" s="3326"/>
      <c r="W48" s="3326"/>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71" t="s">
        <v>2581</v>
      </c>
      <c r="D55" s="2172" t="s">
        <v>2582</v>
      </c>
      <c r="E55" s="642" t="s">
        <v>2583</v>
      </c>
      <c r="F55" s="1021" t="s">
        <v>2584</v>
      </c>
      <c r="G55" s="3280" t="s">
        <v>2585</v>
      </c>
      <c r="H55" s="3327"/>
      <c r="I55" s="140" t="s">
        <v>2586</v>
      </c>
      <c r="J55" s="2173" t="str">
        <f>项目基本情况!F35</f>
        <v>通州区</v>
      </c>
      <c r="K55" s="2174"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467.02</v>
      </c>
      <c r="F56" s="1017" t="e">
        <f t="shared" ref="F56:F65" si="15">ROUND(B56*E56/10000,0)</f>
        <v>#DIV/0!</v>
      </c>
      <c r="G56" s="3276"/>
      <c r="H56" s="326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28"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28"/>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28"/>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28"/>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467.02</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7" t="s">
        <v>2603</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4"/>
      <c r="Q70" s="2969"/>
      <c r="R70" s="2969"/>
      <c r="S70" s="2969"/>
      <c r="T70" s="2969"/>
      <c r="U70" s="2969"/>
      <c r="V70" s="2969"/>
      <c r="W70" s="2969"/>
      <c r="X70" s="2969"/>
      <c r="Y70" s="2969"/>
      <c r="Z70" s="2969"/>
      <c r="AA70" s="2969"/>
      <c r="AB70" s="2969"/>
      <c r="AC70" s="2969"/>
    </row>
    <row r="71" spans="1:29" s="113" customFormat="1" ht="30" customHeight="1">
      <c r="A71" s="2178" t="s">
        <v>2604</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80" t="s">
        <v>2467</v>
      </c>
      <c r="D4" s="3281"/>
      <c r="E4" s="3282" t="s">
        <v>2468</v>
      </c>
      <c r="F4" s="3283"/>
      <c r="G4" s="3280" t="s">
        <v>2469</v>
      </c>
      <c r="H4" s="3281"/>
      <c r="I4" s="3280" t="s">
        <v>2470</v>
      </c>
      <c r="J4" s="3281"/>
      <c r="K4" s="567" t="s">
        <v>2471</v>
      </c>
      <c r="L4" s="2943"/>
      <c r="M4" s="2944"/>
      <c r="N4" s="2944"/>
      <c r="O4" s="2944"/>
      <c r="P4" s="3284" t="s">
        <v>2472</v>
      </c>
      <c r="Q4" s="3285"/>
      <c r="R4" s="3290" t="s">
        <v>2468</v>
      </c>
      <c r="S4" s="3291"/>
      <c r="T4" s="3290" t="s">
        <v>2469</v>
      </c>
      <c r="U4" s="3291"/>
      <c r="V4" s="3296" t="s">
        <v>2470</v>
      </c>
      <c r="W4" s="3296"/>
      <c r="X4" s="1541"/>
      <c r="Y4" s="3290" t="s">
        <v>2472</v>
      </c>
      <c r="Z4" s="3291"/>
      <c r="AA4" s="3277" t="s">
        <v>2468</v>
      </c>
      <c r="AB4" s="3278" t="s">
        <v>2469</v>
      </c>
      <c r="AC4" s="3277" t="s">
        <v>2470</v>
      </c>
    </row>
    <row r="5" spans="1:29" ht="15">
      <c r="A5" s="364"/>
      <c r="B5" s="365"/>
      <c r="C5" s="3299" t="s">
        <v>2363</v>
      </c>
      <c r="D5" s="3300"/>
      <c r="E5" s="3306" t="s">
        <v>2364</v>
      </c>
      <c r="F5" s="3307"/>
      <c r="G5" s="3299" t="s">
        <v>2365</v>
      </c>
      <c r="H5" s="3300"/>
      <c r="I5" s="3299" t="s">
        <v>2366</v>
      </c>
      <c r="J5" s="3300"/>
      <c r="K5" s="567"/>
      <c r="L5" s="2943"/>
      <c r="M5" s="2944"/>
      <c r="N5" s="2944"/>
      <c r="O5" s="2944"/>
      <c r="P5" s="3286"/>
      <c r="Q5" s="3287"/>
      <c r="R5" s="3292"/>
      <c r="S5" s="3293"/>
      <c r="T5" s="3292"/>
      <c r="U5" s="3293"/>
      <c r="V5" s="3296"/>
      <c r="W5" s="3296"/>
      <c r="X5" s="1541"/>
      <c r="Y5" s="3292"/>
      <c r="Z5" s="3293"/>
      <c r="AA5" s="3278"/>
      <c r="AB5" s="3278"/>
      <c r="AC5" s="3278"/>
    </row>
    <row r="6" spans="1:29" ht="15.75" thickBot="1">
      <c r="A6" s="366"/>
      <c r="B6" s="367"/>
      <c r="C6" s="3329" t="s">
        <v>2618</v>
      </c>
      <c r="D6" s="3330"/>
      <c r="E6" s="3331" t="s">
        <v>2618</v>
      </c>
      <c r="F6" s="3332"/>
      <c r="G6" s="3329" t="s">
        <v>2618</v>
      </c>
      <c r="H6" s="3330"/>
      <c r="I6" s="3329" t="s">
        <v>2618</v>
      </c>
      <c r="J6" s="3330"/>
      <c r="K6" s="567" t="s">
        <v>2368</v>
      </c>
      <c r="L6" s="2943"/>
      <c r="M6" s="2944"/>
      <c r="N6" s="2944"/>
      <c r="O6" s="2944"/>
      <c r="P6" s="3288"/>
      <c r="Q6" s="3289"/>
      <c r="R6" s="3292"/>
      <c r="S6" s="3293"/>
      <c r="T6" s="3294"/>
      <c r="U6" s="3295"/>
      <c r="V6" s="3296"/>
      <c r="W6" s="3296"/>
      <c r="X6" s="1541"/>
      <c r="Y6" s="3294"/>
      <c r="Z6" s="3295"/>
      <c r="AA6" s="3279"/>
      <c r="AB6" s="3279"/>
      <c r="AC6" s="3279"/>
    </row>
    <row r="7" spans="1:29" s="113" customFormat="1" ht="15.75" thickBot="1">
      <c r="A7" s="368" t="s">
        <v>2369</v>
      </c>
      <c r="B7" s="369"/>
      <c r="C7" s="370">
        <f>'数据-取费表'!B2</f>
        <v>44187</v>
      </c>
      <c r="D7" s="371">
        <v>100</v>
      </c>
      <c r="E7" s="372"/>
      <c r="F7" s="373">
        <f>SUMIF(65:65,YEAR(E7)&amp;"-"&amp;INT((MONTH(E7)+2)/3),66:66)</f>
        <v>0</v>
      </c>
      <c r="G7" s="2162"/>
      <c r="H7" s="371">
        <f>SUMIF(65:65,YEAR(G7)&amp;"-"&amp;INT((MONTH(G7)+2)/3),66:66)</f>
        <v>0</v>
      </c>
      <c r="I7" s="2162"/>
      <c r="J7" s="371">
        <f>SUMIF(65:65,YEAR(I7)&amp;"-"&amp;INT((MONTH(I7)+2)/3),66:66)</f>
        <v>0</v>
      </c>
      <c r="K7" s="568"/>
      <c r="L7" s="2945"/>
      <c r="M7" s="2946"/>
      <c r="N7" s="2946"/>
      <c r="O7" s="2946"/>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5"/>
      <c r="M9" s="2946"/>
      <c r="N9" s="2946"/>
      <c r="O9" s="3000"/>
      <c r="P9" s="3265" t="s">
        <v>2376</v>
      </c>
      <c r="Q9" s="1529" t="str">
        <f t="shared" ref="Q9:Q15" si="6">B9</f>
        <v>用途</v>
      </c>
      <c r="R9" s="710" t="s">
        <v>17</v>
      </c>
      <c r="S9" s="711">
        <f t="shared" si="0"/>
        <v>100</v>
      </c>
      <c r="T9" s="710" t="s">
        <v>17</v>
      </c>
      <c r="U9" s="711">
        <f t="shared" si="1"/>
        <v>100</v>
      </c>
      <c r="V9" s="710" t="s">
        <v>17</v>
      </c>
      <c r="W9" s="711">
        <f t="shared" si="2"/>
        <v>100</v>
      </c>
      <c r="X9" s="712"/>
      <c r="Y9" s="313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t="e">
        <f>ROUND(100/'数据-取费表'!G16,0)</f>
        <v>#DIV/0!</v>
      </c>
      <c r="G10" s="391"/>
      <c r="H10" s="132" t="e">
        <f>ROUND(100/'数据-取费表'!G16,0)</f>
        <v>#DIV/0!</v>
      </c>
      <c r="I10" s="391"/>
      <c r="J10" s="132" t="e">
        <f>ROUND(100/'数据-取费表'!G16,0)</f>
        <v>#DIV/0!</v>
      </c>
      <c r="K10" s="628"/>
      <c r="L10" s="2947"/>
      <c r="M10" s="2948"/>
      <c r="N10" s="2948"/>
      <c r="O10" s="3001"/>
      <c r="P10" s="3265"/>
      <c r="Q10" s="1529" t="str">
        <f t="shared" si="6"/>
        <v>土地使用年限（年）</v>
      </c>
      <c r="R10" s="710" t="s">
        <v>17</v>
      </c>
      <c r="S10" s="711" t="e">
        <f t="shared" si="0"/>
        <v>#DIV/0!</v>
      </c>
      <c r="T10" s="710" t="s">
        <v>17</v>
      </c>
      <c r="U10" s="711" t="e">
        <f t="shared" si="1"/>
        <v>#DIV/0!</v>
      </c>
      <c r="V10" s="710" t="s">
        <v>17</v>
      </c>
      <c r="W10" s="711" t="e">
        <f t="shared" si="2"/>
        <v>#DIV/0!</v>
      </c>
      <c r="X10" s="712"/>
      <c r="Y10" s="3135"/>
      <c r="Z10" s="55" t="str">
        <f t="shared" si="7"/>
        <v>土地使用年限（年）</v>
      </c>
      <c r="AA10" s="713" t="e">
        <f t="shared" si="3"/>
        <v>#DIV/0!</v>
      </c>
      <c r="AB10" s="713" t="e">
        <f t="shared" si="4"/>
        <v>#DIV/0!</v>
      </c>
      <c r="AC10" s="713" t="e">
        <f t="shared" si="5"/>
        <v>#DIV/0!</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65"/>
      <c r="Q11" s="1529" t="str">
        <f t="shared" si="6"/>
        <v>容积率</v>
      </c>
      <c r="R11" s="710" t="s">
        <v>17</v>
      </c>
      <c r="S11" s="711" t="e">
        <f t="shared" si="0"/>
        <v>#N/A</v>
      </c>
      <c r="T11" s="710" t="s">
        <v>17</v>
      </c>
      <c r="U11" s="711" t="e">
        <f t="shared" si="1"/>
        <v>#N/A</v>
      </c>
      <c r="V11" s="710" t="s">
        <v>17</v>
      </c>
      <c r="W11" s="711" t="e">
        <f t="shared" si="2"/>
        <v>#N/A</v>
      </c>
      <c r="X11" s="712"/>
      <c r="Y11" s="313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5"/>
      <c r="Q12" s="1529">
        <f t="shared" si="6"/>
        <v>111</v>
      </c>
      <c r="R12" s="710" t="s">
        <v>17</v>
      </c>
      <c r="S12" s="711">
        <f t="shared" si="0"/>
        <v>100</v>
      </c>
      <c r="T12" s="710" t="s">
        <v>17</v>
      </c>
      <c r="U12" s="711">
        <f t="shared" si="1"/>
        <v>100</v>
      </c>
      <c r="V12" s="710" t="s">
        <v>17</v>
      </c>
      <c r="W12" s="711">
        <f t="shared" si="2"/>
        <v>100</v>
      </c>
      <c r="X12" s="712"/>
      <c r="Y12" s="313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5"/>
      <c r="Q13" s="1529">
        <f t="shared" si="6"/>
        <v>111</v>
      </c>
      <c r="R13" s="710" t="s">
        <v>17</v>
      </c>
      <c r="S13" s="711">
        <f t="shared" si="0"/>
        <v>100</v>
      </c>
      <c r="T13" s="710" t="s">
        <v>17</v>
      </c>
      <c r="U13" s="711">
        <f t="shared" si="1"/>
        <v>100</v>
      </c>
      <c r="V13" s="710" t="s">
        <v>17</v>
      </c>
      <c r="W13" s="711">
        <f t="shared" si="2"/>
        <v>100</v>
      </c>
      <c r="X13" s="712"/>
      <c r="Y13" s="313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5"/>
      <c r="Q14" s="1529">
        <f t="shared" si="6"/>
        <v>111</v>
      </c>
      <c r="R14" s="710" t="s">
        <v>17</v>
      </c>
      <c r="S14" s="711">
        <f t="shared" si="0"/>
        <v>100</v>
      </c>
      <c r="T14" s="710" t="s">
        <v>17</v>
      </c>
      <c r="U14" s="711">
        <f t="shared" si="1"/>
        <v>100</v>
      </c>
      <c r="V14" s="710" t="s">
        <v>17</v>
      </c>
      <c r="W14" s="711">
        <f t="shared" si="2"/>
        <v>100</v>
      </c>
      <c r="X14" s="712"/>
      <c r="Y14" s="3135"/>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67" t="s">
        <v>2381</v>
      </c>
      <c r="Q15" s="1538" t="str">
        <f t="shared" si="6"/>
        <v>产业集聚程度</v>
      </c>
      <c r="R15" s="714" t="s">
        <v>17</v>
      </c>
      <c r="S15" s="715">
        <f t="shared" si="0"/>
        <v>100</v>
      </c>
      <c r="T15" s="714" t="s">
        <v>17</v>
      </c>
      <c r="U15" s="715">
        <f t="shared" si="1"/>
        <v>100</v>
      </c>
      <c r="V15" s="714" t="s">
        <v>17</v>
      </c>
      <c r="W15" s="715">
        <f t="shared" si="2"/>
        <v>100</v>
      </c>
      <c r="X15" s="1541"/>
      <c r="Y15" s="3267"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68"/>
      <c r="Q16" s="1538"/>
      <c r="R16" s="714"/>
      <c r="S16" s="715"/>
      <c r="T16" s="714"/>
      <c r="U16" s="715"/>
      <c r="V16" s="714"/>
      <c r="W16" s="715"/>
      <c r="X16" s="1541"/>
      <c r="Y16" s="3268"/>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68"/>
      <c r="Q17" s="1538" t="str">
        <f>B17</f>
        <v>交通便捷度</v>
      </c>
      <c r="R17" s="714" t="s">
        <v>17</v>
      </c>
      <c r="S17" s="715">
        <f>F17</f>
        <v>100</v>
      </c>
      <c r="T17" s="714" t="s">
        <v>17</v>
      </c>
      <c r="U17" s="715">
        <f>H17</f>
        <v>100</v>
      </c>
      <c r="V17" s="714" t="s">
        <v>17</v>
      </c>
      <c r="W17" s="715">
        <f>J17</f>
        <v>100</v>
      </c>
      <c r="X17" s="1541"/>
      <c r="Y17" s="326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68"/>
      <c r="Q18" s="1538"/>
      <c r="R18" s="714"/>
      <c r="S18" s="715"/>
      <c r="T18" s="714"/>
      <c r="U18" s="715"/>
      <c r="V18" s="714"/>
      <c r="W18" s="715"/>
      <c r="X18" s="1541"/>
      <c r="Y18" s="3268"/>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68"/>
      <c r="Q19" s="1538" t="str">
        <f t="shared" ref="Q19:Q33" si="8">B19</f>
        <v>区域土地利用方向</v>
      </c>
      <c r="R19" s="714" t="s">
        <v>17</v>
      </c>
      <c r="S19" s="715">
        <f>F19</f>
        <v>100</v>
      </c>
      <c r="T19" s="714" t="s">
        <v>17</v>
      </c>
      <c r="U19" s="715">
        <f>H19</f>
        <v>100</v>
      </c>
      <c r="V19" s="714" t="s">
        <v>17</v>
      </c>
      <c r="W19" s="715">
        <f>J19</f>
        <v>100</v>
      </c>
      <c r="X19" s="1541"/>
      <c r="Y19" s="326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68"/>
      <c r="Q20" s="1538"/>
      <c r="R20" s="714"/>
      <c r="S20" s="715"/>
      <c r="T20" s="714"/>
      <c r="U20" s="715"/>
      <c r="V20" s="714"/>
      <c r="W20" s="715"/>
      <c r="X20" s="1541"/>
      <c r="Y20" s="3268"/>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68"/>
      <c r="Q21" s="1538" t="str">
        <f t="shared" si="8"/>
        <v>环境状况</v>
      </c>
      <c r="R21" s="714" t="s">
        <v>17</v>
      </c>
      <c r="S21" s="715">
        <f>F21</f>
        <v>100</v>
      </c>
      <c r="T21" s="714" t="s">
        <v>17</v>
      </c>
      <c r="U21" s="715">
        <f>H21</f>
        <v>100</v>
      </c>
      <c r="V21" s="714" t="s">
        <v>17</v>
      </c>
      <c r="W21" s="715">
        <f>J21</f>
        <v>100</v>
      </c>
      <c r="X21" s="1541"/>
      <c r="Y21" s="326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68"/>
      <c r="Q22" s="1538"/>
      <c r="R22" s="714"/>
      <c r="S22" s="715"/>
      <c r="T22" s="714"/>
      <c r="U22" s="715"/>
      <c r="V22" s="714"/>
      <c r="W22" s="715"/>
      <c r="X22" s="1541"/>
      <c r="Y22" s="3268"/>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68"/>
      <c r="Q23" s="1529" t="str">
        <f t="shared" si="8"/>
        <v>公共配套设施</v>
      </c>
      <c r="R23" s="710" t="s">
        <v>17</v>
      </c>
      <c r="S23" s="711">
        <f>F23</f>
        <v>100</v>
      </c>
      <c r="T23" s="710" t="s">
        <v>17</v>
      </c>
      <c r="U23" s="711">
        <f>H23</f>
        <v>100</v>
      </c>
      <c r="V23" s="710" t="s">
        <v>17</v>
      </c>
      <c r="W23" s="711">
        <f>J23</f>
        <v>100</v>
      </c>
      <c r="X23" s="712"/>
      <c r="Y23" s="3268"/>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5"/>
      <c r="M24" s="2946"/>
      <c r="N24" s="2946"/>
      <c r="O24" s="3000"/>
      <c r="P24" s="3268"/>
      <c r="Q24" s="1529"/>
      <c r="R24" s="710"/>
      <c r="S24" s="711"/>
      <c r="T24" s="710"/>
      <c r="U24" s="711"/>
      <c r="V24" s="710"/>
      <c r="W24" s="711"/>
      <c r="X24" s="712"/>
      <c r="Y24" s="3268"/>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68"/>
      <c r="Q25" s="1529" t="str">
        <f t="shared" ref="Q25" si="9">B25</f>
        <v>基础设施水平</v>
      </c>
      <c r="R25" s="710" t="s">
        <v>17</v>
      </c>
      <c r="S25" s="711">
        <f>F25</f>
        <v>100</v>
      </c>
      <c r="T25" s="710" t="s">
        <v>17</v>
      </c>
      <c r="U25" s="711">
        <f>H25</f>
        <v>100</v>
      </c>
      <c r="V25" s="710" t="s">
        <v>17</v>
      </c>
      <c r="W25" s="711">
        <f>J25</f>
        <v>100</v>
      </c>
      <c r="X25" s="712"/>
      <c r="Y25" s="3268"/>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5"/>
      <c r="M26" s="2946"/>
      <c r="N26" s="2946"/>
      <c r="O26" s="3000"/>
      <c r="P26" s="3268"/>
      <c r="Q26" s="1529"/>
      <c r="R26" s="710"/>
      <c r="S26" s="711"/>
      <c r="T26" s="710"/>
      <c r="U26" s="711"/>
      <c r="V26" s="710"/>
      <c r="W26" s="711"/>
      <c r="X26" s="712"/>
      <c r="Y26" s="326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6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68"/>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68"/>
      <c r="Q28" s="1538" t="str">
        <f t="shared" si="8"/>
        <v>毗邻道路的类型与等级</v>
      </c>
      <c r="R28" s="714" t="s">
        <v>17</v>
      </c>
      <c r="S28" s="715">
        <f t="shared" si="10"/>
        <v>100</v>
      </c>
      <c r="T28" s="714" t="s">
        <v>17</v>
      </c>
      <c r="U28" s="715">
        <f t="shared" si="11"/>
        <v>100</v>
      </c>
      <c r="V28" s="714" t="s">
        <v>17</v>
      </c>
      <c r="W28" s="715">
        <f t="shared" si="12"/>
        <v>100</v>
      </c>
      <c r="X28" s="1541"/>
      <c r="Y28" s="326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68"/>
      <c r="Q29" s="1538"/>
      <c r="R29" s="714"/>
      <c r="S29" s="715"/>
      <c r="T29" s="714"/>
      <c r="U29" s="715"/>
      <c r="V29" s="714"/>
      <c r="W29" s="715"/>
      <c r="X29" s="1541"/>
      <c r="Y29" s="3268"/>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68"/>
      <c r="Q30" s="1538" t="str">
        <f t="shared" si="8"/>
        <v>土地级别</v>
      </c>
      <c r="R30" s="714" t="s">
        <v>17</v>
      </c>
      <c r="S30" s="715">
        <f t="shared" si="10"/>
        <v>100</v>
      </c>
      <c r="T30" s="714" t="s">
        <v>17</v>
      </c>
      <c r="U30" s="715">
        <f t="shared" si="11"/>
        <v>100</v>
      </c>
      <c r="V30" s="714" t="s">
        <v>17</v>
      </c>
      <c r="W30" s="715">
        <f t="shared" si="12"/>
        <v>100</v>
      </c>
      <c r="X30" s="1541"/>
      <c r="Y30" s="3268"/>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68"/>
      <c r="Q31" s="1538">
        <f t="shared" si="8"/>
        <v>111</v>
      </c>
      <c r="R31" s="714" t="s">
        <v>17</v>
      </c>
      <c r="S31" s="715">
        <f t="shared" si="10"/>
        <v>100</v>
      </c>
      <c r="T31" s="714" t="s">
        <v>17</v>
      </c>
      <c r="U31" s="715">
        <f t="shared" si="11"/>
        <v>100</v>
      </c>
      <c r="V31" s="714" t="s">
        <v>17</v>
      </c>
      <c r="W31" s="715">
        <f t="shared" si="12"/>
        <v>100</v>
      </c>
      <c r="X31" s="1541"/>
      <c r="Y31" s="3268"/>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23" t="s">
        <v>2386</v>
      </c>
      <c r="Q32" s="1538">
        <f t="shared" si="8"/>
        <v>111</v>
      </c>
      <c r="R32" s="714" t="s">
        <v>17</v>
      </c>
      <c r="S32" s="715">
        <f t="shared" si="10"/>
        <v>100</v>
      </c>
      <c r="T32" s="714" t="s">
        <v>17</v>
      </c>
      <c r="U32" s="715">
        <f t="shared" si="11"/>
        <v>100</v>
      </c>
      <c r="V32" s="714" t="s">
        <v>17</v>
      </c>
      <c r="W32" s="715">
        <f t="shared" si="12"/>
        <v>100</v>
      </c>
      <c r="X32" s="1541"/>
      <c r="Y32" s="3272"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72"/>
      <c r="Q33" s="1538">
        <f t="shared" si="8"/>
        <v>111</v>
      </c>
      <c r="R33" s="717" t="s">
        <v>17</v>
      </c>
      <c r="S33" s="718">
        <f t="shared" si="10"/>
        <v>100</v>
      </c>
      <c r="T33" s="717" t="s">
        <v>17</v>
      </c>
      <c r="U33" s="718">
        <f t="shared" si="11"/>
        <v>100</v>
      </c>
      <c r="V33" s="717" t="s">
        <v>17</v>
      </c>
      <c r="W33" s="718">
        <f t="shared" si="12"/>
        <v>100</v>
      </c>
      <c r="X33" s="719"/>
      <c r="Y33" s="3272"/>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72"/>
      <c r="Q34" s="1538" t="str">
        <f>B34</f>
        <v>宗地面积</v>
      </c>
      <c r="R34" s="714" t="s">
        <v>17</v>
      </c>
      <c r="S34" s="715" t="e">
        <f t="shared" si="10"/>
        <v>#N/A</v>
      </c>
      <c r="T34" s="714" t="s">
        <v>17</v>
      </c>
      <c r="U34" s="715" t="e">
        <f t="shared" si="11"/>
        <v>#N/A</v>
      </c>
      <c r="V34" s="714" t="s">
        <v>17</v>
      </c>
      <c r="W34" s="715" t="e">
        <f t="shared" si="12"/>
        <v>#N/A</v>
      </c>
      <c r="X34" s="1541"/>
      <c r="Y34" s="3272"/>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272"/>
      <c r="Q35" s="1538" t="str">
        <f t="shared" ref="Q35:Q40" si="14">B35</f>
        <v>宗地形状</v>
      </c>
      <c r="R35" s="714" t="s">
        <v>17</v>
      </c>
      <c r="S35" s="715">
        <f t="shared" si="10"/>
        <v>100</v>
      </c>
      <c r="T35" s="714" t="s">
        <v>17</v>
      </c>
      <c r="U35" s="715">
        <f t="shared" si="11"/>
        <v>100</v>
      </c>
      <c r="V35" s="714" t="s">
        <v>17</v>
      </c>
      <c r="W35" s="715">
        <f t="shared" si="12"/>
        <v>100</v>
      </c>
      <c r="X35" s="1541"/>
      <c r="Y35" s="3272"/>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5"/>
      <c r="M36" s="2946"/>
      <c r="N36" s="2946"/>
      <c r="O36" s="3000"/>
      <c r="P36" s="3272"/>
      <c r="Q36" s="1538" t="str">
        <f t="shared" si="14"/>
        <v>宗地开发程度</v>
      </c>
      <c r="R36" s="710" t="s">
        <v>17</v>
      </c>
      <c r="S36" s="711">
        <f t="shared" si="10"/>
        <v>100</v>
      </c>
      <c r="T36" s="710" t="s">
        <v>17</v>
      </c>
      <c r="U36" s="711">
        <f t="shared" si="11"/>
        <v>100</v>
      </c>
      <c r="V36" s="710" t="s">
        <v>17</v>
      </c>
      <c r="W36" s="711">
        <f t="shared" si="12"/>
        <v>100</v>
      </c>
      <c r="X36" s="712"/>
      <c r="Y36" s="3272"/>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272" t="s">
        <v>2386</v>
      </c>
      <c r="Q37" s="1538" t="str">
        <f t="shared" si="14"/>
        <v>工程地质条件</v>
      </c>
      <c r="R37" s="714" t="s">
        <v>17</v>
      </c>
      <c r="S37" s="715">
        <f t="shared" si="10"/>
        <v>100</v>
      </c>
      <c r="T37" s="714" t="s">
        <v>17</v>
      </c>
      <c r="U37" s="715">
        <f t="shared" si="11"/>
        <v>100</v>
      </c>
      <c r="V37" s="714" t="s">
        <v>17</v>
      </c>
      <c r="W37" s="715">
        <f t="shared" si="12"/>
        <v>100</v>
      </c>
      <c r="X37" s="1541"/>
      <c r="Y37" s="3272"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72"/>
      <c r="Q38" s="1538">
        <f t="shared" si="14"/>
        <v>111</v>
      </c>
      <c r="R38" s="714" t="s">
        <v>17</v>
      </c>
      <c r="S38" s="715">
        <f t="shared" si="10"/>
        <v>100</v>
      </c>
      <c r="T38" s="714" t="s">
        <v>17</v>
      </c>
      <c r="U38" s="715">
        <f t="shared" si="11"/>
        <v>100</v>
      </c>
      <c r="V38" s="714" t="s">
        <v>17</v>
      </c>
      <c r="W38" s="715">
        <f t="shared" si="12"/>
        <v>100</v>
      </c>
      <c r="X38" s="1541"/>
      <c r="Y38" s="3272"/>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72"/>
      <c r="Q39" s="1538">
        <f t="shared" si="14"/>
        <v>111</v>
      </c>
      <c r="R39" s="714" t="s">
        <v>17</v>
      </c>
      <c r="S39" s="715">
        <f t="shared" si="10"/>
        <v>100</v>
      </c>
      <c r="T39" s="714" t="s">
        <v>17</v>
      </c>
      <c r="U39" s="715">
        <f t="shared" si="11"/>
        <v>100</v>
      </c>
      <c r="V39" s="714" t="s">
        <v>17</v>
      </c>
      <c r="W39" s="715">
        <f t="shared" si="12"/>
        <v>100</v>
      </c>
      <c r="X39" s="1541"/>
      <c r="Y39" s="3272"/>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72"/>
      <c r="Q40" s="1538">
        <f t="shared" si="14"/>
        <v>111</v>
      </c>
      <c r="R40" s="717" t="s">
        <v>17</v>
      </c>
      <c r="S40" s="718">
        <f t="shared" si="10"/>
        <v>100</v>
      </c>
      <c r="T40" s="717" t="s">
        <v>17</v>
      </c>
      <c r="U40" s="718">
        <f t="shared" si="11"/>
        <v>100</v>
      </c>
      <c r="V40" s="717" t="s">
        <v>17</v>
      </c>
      <c r="W40" s="718">
        <f t="shared" si="12"/>
        <v>100</v>
      </c>
      <c r="X40" s="719"/>
      <c r="Y40" s="3272"/>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2"/>
      <c r="M41" s="2944"/>
      <c r="N41" s="2944"/>
      <c r="O41" s="2953"/>
      <c r="P41" s="3265" t="str">
        <f>A41</f>
        <v>成交单价</v>
      </c>
      <c r="Q41" s="3265"/>
      <c r="R41" s="3296">
        <f>E41</f>
        <v>0</v>
      </c>
      <c r="S41" s="3296"/>
      <c r="T41" s="3296">
        <f>G41</f>
        <v>0</v>
      </c>
      <c r="U41" s="3296"/>
      <c r="V41" s="3296">
        <f>I41</f>
        <v>0</v>
      </c>
      <c r="W41" s="3296"/>
      <c r="X41" s="699"/>
      <c r="Y41" s="721"/>
      <c r="Z41" s="699"/>
      <c r="AA41" s="699"/>
      <c r="AB41" s="699"/>
      <c r="AC41" s="699"/>
    </row>
    <row r="42" spans="1:31" ht="15.75" thickBot="1">
      <c r="A42" s="445" t="s">
        <v>2490</v>
      </c>
      <c r="B42" s="639"/>
      <c r="C42" s="448" t="e">
        <f>R43</f>
        <v>#DIV/0!</v>
      </c>
      <c r="D42" s="2540" t="s">
        <v>2881</v>
      </c>
      <c r="E42" s="448" t="e">
        <f>R42</f>
        <v>#DIV/0!</v>
      </c>
      <c r="F42" s="2541"/>
      <c r="G42" s="447" t="e">
        <f>T42</f>
        <v>#DIV/0!</v>
      </c>
      <c r="H42" s="2541"/>
      <c r="I42" s="448" t="e">
        <f>V42</f>
        <v>#DIV/0!</v>
      </c>
      <c r="J42" s="2541"/>
      <c r="K42" s="2543">
        <f>F42+H42+J42</f>
        <v>0</v>
      </c>
      <c r="L42" s="2952"/>
      <c r="M42" s="2944"/>
      <c r="N42" s="2944"/>
      <c r="O42" s="2953"/>
      <c r="P42" s="3265" t="str">
        <f>A42</f>
        <v>比较价值（元/平方米）</v>
      </c>
      <c r="Q42" s="3265"/>
      <c r="R42" s="3325" t="e">
        <f>ROUND(PRODUCT(R41,AA7:AA40),0)</f>
        <v>#DIV/0!</v>
      </c>
      <c r="S42" s="3325"/>
      <c r="T42" s="3325" t="e">
        <f>ROUND(PRODUCT(T41,AB7:AB40),0)</f>
        <v>#DIV/0!</v>
      </c>
      <c r="U42" s="3325"/>
      <c r="V42" s="3325" t="e">
        <f>ROUND(PRODUCT(V41,AC7:AC40),0)</f>
        <v>#DIV/0!</v>
      </c>
      <c r="W42" s="332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262" t="str">
        <f>A43</f>
        <v>估价对象XX用房的比较价值（楼面单价，元/平方米）</v>
      </c>
      <c r="Q43" s="3263"/>
      <c r="R43" s="3326" t="e">
        <f>ROUND(IF(D42="简单平均",AVERAGE(R42:W42),R42*F42+T42*H42+V42*J42),0)</f>
        <v>#DIV/0!</v>
      </c>
      <c r="S43" s="3326"/>
      <c r="T43" s="3326"/>
      <c r="U43" s="3326"/>
      <c r="V43" s="3326"/>
      <c r="W43" s="3326"/>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71" t="s">
        <v>2581</v>
      </c>
      <c r="D50" s="2172" t="s">
        <v>2582</v>
      </c>
      <c r="E50" s="642" t="s">
        <v>2583</v>
      </c>
      <c r="F50" s="643" t="s">
        <v>2584</v>
      </c>
      <c r="G50" s="3280" t="s">
        <v>2585</v>
      </c>
      <c r="H50" s="3327"/>
      <c r="I50" s="1542" t="s">
        <v>2622</v>
      </c>
      <c r="J50" s="1542" t="str">
        <f>项目基本情况!F35</f>
        <v>通州区</v>
      </c>
      <c r="K50" s="2174"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467.02</v>
      </c>
      <c r="F51" s="647" t="e">
        <f t="shared" ref="F51:F60" si="15">ROUND(B51*E51/10000,0)</f>
        <v>#DIV/0!</v>
      </c>
      <c r="G51" s="3276"/>
      <c r="H51" s="326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28"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28"/>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28"/>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28"/>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7" t="s">
        <v>2603</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2"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0</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7" t="s">
        <v>2634</v>
      </c>
      <c r="D2" s="2188" t="s">
        <v>2635</v>
      </c>
      <c r="E2" s="2189"/>
      <c r="F2" s="2188" t="s">
        <v>2636</v>
      </c>
      <c r="G2" s="2190" t="str">
        <f>IF(E2="商业",项目基本情况!B37,IF(E2="办公",项目基本情况!C37,IF(E2="住宅",项目基本情况!D37,项目基本情况!E37)))</f>
        <v>八级</v>
      </c>
      <c r="H2" s="2188" t="s">
        <v>2637</v>
      </c>
      <c r="I2" s="2190" t="str">
        <f>IF(E2="商业",项目基本情况!B38,IF(E2="办公",项目基本情况!C38,IF(E2="住宅",项目基本情况!D38,项目基本情况!E38)))</f>
        <v>Ⅷ-通2</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7" t="s">
        <v>2640</v>
      </c>
      <c r="D3" s="2188" t="s">
        <v>2641</v>
      </c>
      <c r="E3" s="2193"/>
      <c r="F3" s="2194" t="s">
        <v>2642</v>
      </c>
      <c r="G3" s="855" t="e">
        <f>IF(F3="宗地容积率",'数据-汇总表'!I4,IF(F3="估价对象容积率",'数据-汇总表'!I6,'数据-汇总表'!I7))</f>
        <v>#DIV/0!</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36"/>
      <c r="B4" s="3337"/>
      <c r="C4" s="3337"/>
      <c r="D4" s="3338"/>
      <c r="E4" s="3338"/>
      <c r="F4" s="3338"/>
      <c r="G4" s="3338"/>
      <c r="H4" s="3338"/>
      <c r="I4" s="3338"/>
      <c r="J4" s="3339"/>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t="e">
        <f>ROUND(IF(E2="商业",C6*C7+C16,(IF(E2="住宅",C6*C12+C16,C6+C16))),0)</f>
        <v>#DIV/0!</v>
      </c>
      <c r="D5" s="1525" t="e">
        <f>ROUND(C6+C16,0)</f>
        <v>#DIV/0!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40" t="str">
        <f>IF(E2="商业",IF(C8="不临58条商业街","",2),"")</f>
        <v/>
      </c>
      <c r="B7" s="2211" t="s">
        <v>2653</v>
      </c>
      <c r="C7" s="858" t="e">
        <f>IF(C8="不临58条商业街",1,ROUND(1+(1.6*E8+1.2*E9+0.8*E10+0.4*E11)*C9,4))</f>
        <v>#DIV/0!</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2656</v>
      </c>
      <c r="X7" s="1376" t="str">
        <f>G2</f>
        <v>八级</v>
      </c>
      <c r="Y7" s="1376" t="s">
        <v>2657</v>
      </c>
      <c r="Z7" s="1377" t="e">
        <f>G3</f>
        <v>#DIV/0!</v>
      </c>
      <c r="AA7" s="1378"/>
      <c r="AB7" s="1378"/>
      <c r="AC7" s="1379"/>
      <c r="AD7" s="1380"/>
      <c r="AE7" s="1380"/>
      <c r="AF7" s="1380"/>
      <c r="AG7" s="1380"/>
      <c r="AH7" s="1380"/>
      <c r="AI7" s="1380"/>
      <c r="AJ7" s="1381"/>
    </row>
    <row r="8" spans="1:36" ht="15">
      <c r="A8" s="3341"/>
      <c r="B8" s="175" t="s">
        <v>2658</v>
      </c>
      <c r="C8" s="2216"/>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33" t="s">
        <v>2661</v>
      </c>
      <c r="X8" s="3334"/>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41"/>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35"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1"/>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3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1"/>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35"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40"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35"/>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2"/>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t="e">
        <f t="shared" si="0"/>
        <v>#DIV/0!</v>
      </c>
      <c r="U13" s="1375"/>
      <c r="V13" s="1374" t="e">
        <f t="shared" si="1"/>
        <v>#DIV/0!</v>
      </c>
      <c r="W13" s="3335"/>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42"/>
      <c r="B14" s="2234"/>
      <c r="C14" s="2235"/>
      <c r="D14" s="2236"/>
      <c r="E14" s="2236"/>
      <c r="F14" s="2237"/>
      <c r="G14" s="2238" t="s">
        <v>2698</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43"/>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40" t="s">
        <v>2704</v>
      </c>
      <c r="B16" s="2211" t="s">
        <v>2705</v>
      </c>
      <c r="C16" s="2373" t="e">
        <f>ROUND(IF(F17="与级别开发程度一致",0,(G17-E17)/C17),0)</f>
        <v>#DIV/0!</v>
      </c>
      <c r="D16" s="3356" t="s">
        <v>2709</v>
      </c>
      <c r="E16" s="3357"/>
      <c r="F16" s="3356" t="s">
        <v>2706</v>
      </c>
      <c r="G16" s="3357"/>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44"/>
      <c r="B17" s="2384" t="s">
        <v>2708</v>
      </c>
      <c r="C17" s="2385">
        <f>SUMPRODUCT((修正!A2:A5=E2)*(修正!B1:M1=G2)*(修正!B2:M5))</f>
        <v>0</v>
      </c>
      <c r="D17" s="193"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0</v>
      </c>
      <c r="D18" s="2381"/>
      <c r="E18" s="2382"/>
      <c r="F18" s="2382"/>
      <c r="G18" s="2382"/>
      <c r="H18" s="2382"/>
      <c r="I18" s="2382"/>
      <c r="J18" s="2383"/>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8"/>
    </row>
    <row r="19" spans="1:37" s="2204" customFormat="1" ht="27.75" thickBot="1">
      <c r="A19" s="2248" t="s">
        <v>809</v>
      </c>
      <c r="B19" s="2249" t="s">
        <v>2712</v>
      </c>
      <c r="C19" s="863" t="e">
        <f>ROUND(IF(H19="按公示增长率计算",SUMPRODUCT((地价!A3:A32=YEAR(G19)&amp;"-"&amp;ROUNDUP(MONTH(G19)/3,0))*(地价!X2:AB2=E2)*(地价!X3:AB32)),IF(H19="地价指数",M20/M19,(1+I19)^O19)),4)</f>
        <v>#VALUE!</v>
      </c>
      <c r="D19" s="2253" t="s">
        <v>2713</v>
      </c>
      <c r="E19" s="864">
        <v>41640</v>
      </c>
      <c r="F19" s="2253" t="s">
        <v>2714</v>
      </c>
      <c r="G19" s="865">
        <f>'数据-取费表'!B2</f>
        <v>44187</v>
      </c>
      <c r="H19" s="2254"/>
      <c r="I19" s="866" t="str">
        <f>IF(H19="季度增幅（自定义）",SUMIF(N21:N24,E2,O21:O24),"")</f>
        <v/>
      </c>
      <c r="J19" s="2251"/>
      <c r="K19" s="1287"/>
      <c r="L19" s="2255" t="s">
        <v>2715</v>
      </c>
      <c r="M19" s="1498">
        <f>ROUND(SUMIF(地价!B2:F2,E2,地价!B32:F32),0)</f>
        <v>0</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1"/>
      <c r="AH19" s="2342"/>
      <c r="AI19" s="3022"/>
      <c r="AJ19" s="3022"/>
      <c r="AK19" s="2257"/>
    </row>
    <row r="20" spans="1:37" s="2204" customFormat="1" ht="27.75" thickBot="1">
      <c r="A20" s="2258" t="s">
        <v>810</v>
      </c>
      <c r="B20" s="2259" t="s">
        <v>2717</v>
      </c>
      <c r="C20" s="868" t="e">
        <f>ROUND(POWER(1+G20,J20-I20)*(POWER(1+G20,I20)-1)/(POWER(1+G20,J20)-1),4)</f>
        <v>#DIV/0!</v>
      </c>
      <c r="D20" s="2260" t="s">
        <v>2718</v>
      </c>
      <c r="E20" s="1507">
        <f ca="1">存贷款利率!D4/100</f>
        <v>4.3499999999999997E-2</v>
      </c>
      <c r="F20" s="2260" t="s">
        <v>2710</v>
      </c>
      <c r="G20" s="873">
        <f>SUMIF(M26:P26,E2,M28:P28)</f>
        <v>0</v>
      </c>
      <c r="H20" s="2260" t="s">
        <v>2719</v>
      </c>
      <c r="I20" s="874" t="e">
        <f>SUMIF('数据-取费表'!C6:C15,E2,'数据-取费表'!F6:F15)/COUNTIF('数据-取费表'!C6:C15,E2)</f>
        <v>#DIV/0!</v>
      </c>
      <c r="J20" s="875">
        <f>IF(E2="住宅",70,IF(E2="商业",40,50))</f>
        <v>50</v>
      </c>
      <c r="K20" s="1287"/>
      <c r="L20" s="2261" t="s">
        <v>2720</v>
      </c>
      <c r="M20" s="1499">
        <f>ROUND(SUMPRODUCT((地价!A4:A32=YEAR(G19)&amp;"-"&amp;ROUNDUP(MONTH(G19)/3,0))*(地价!B2:F2=E2)*(地价!B4:F32)),0)</f>
        <v>0</v>
      </c>
      <c r="N20" s="2262" t="s">
        <v>2721</v>
      </c>
      <c r="O20" s="2263" t="s">
        <v>2722</v>
      </c>
      <c r="P20" s="2264" t="s">
        <v>2723</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4" customFormat="1" ht="15">
      <c r="A21" s="2265" t="s">
        <v>811</v>
      </c>
      <c r="B21" s="2266" t="s">
        <v>2724</v>
      </c>
      <c r="C21" s="876" t="e">
        <f>IF(B21="容积率修正",IF(G3&lt;=10,D22,J22),C23)</f>
        <v>#DIV/0!</v>
      </c>
      <c r="D21" s="2267"/>
      <c r="E21" s="2267"/>
      <c r="F21" s="2267"/>
      <c r="G21" s="2267"/>
      <c r="H21" s="2267"/>
      <c r="I21" s="2267"/>
      <c r="J21" s="2268"/>
      <c r="K21" s="1287"/>
      <c r="L21" s="3018"/>
      <c r="M21" s="3018"/>
      <c r="N21" s="2269" t="s">
        <v>2725</v>
      </c>
      <c r="O21" s="1335"/>
      <c r="P21" s="1336">
        <f>SUMPRODUCT((地价!A3:A32=YEAR(G19)&amp;"-"&amp;ROUNDUP(MONTH(G19)/3,0))*(地价!AD2:AH2=N21)*(地价!AD3:AH32))</f>
        <v>1.14E-2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4" customFormat="1" ht="14.25">
      <c r="A22" s="2143" t="s">
        <v>2726</v>
      </c>
      <c r="B22" s="2270" t="s">
        <v>2727</v>
      </c>
      <c r="C22" s="1538" t="s">
        <v>2728</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9" t="s">
        <v>2729</v>
      </c>
      <c r="O22" s="1335"/>
      <c r="P22" s="1336">
        <f>SUMPRODUCT((地价!A3:A32=YEAR(G19)&amp;"-"&amp;ROUNDUP(MONTH(G19)/3,0))*(地价!AD2:AH2=N22)*(地价!AD3:AH32))</f>
        <v>1.14E-2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2730</v>
      </c>
      <c r="B23" s="2271" t="s">
        <v>2731</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2732</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0</v>
      </c>
      <c r="D24" s="2250"/>
      <c r="E24" s="2277"/>
      <c r="F24" s="2277"/>
      <c r="G24" s="2277"/>
      <c r="H24" s="2277"/>
      <c r="I24" s="2277"/>
      <c r="J24" s="2278"/>
      <c r="K24" s="1287"/>
      <c r="L24" s="3018"/>
      <c r="M24" s="3018"/>
      <c r="N24" s="2279" t="s">
        <v>2734</v>
      </c>
      <c r="O24" s="1337"/>
      <c r="P24" s="1338">
        <f>SUMPRODUCT((地价!A3:A32=YEAR(G19)&amp;"-"&amp;ROUNDUP(MONTH(G19)/3,0))*(地价!AD2:AH2=N24)*(地价!AD3:AH32))</f>
        <v>1.23E-2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8" t="s">
        <v>813</v>
      </c>
      <c r="B25" s="2280" t="s">
        <v>2735</v>
      </c>
      <c r="C25" s="869"/>
      <c r="D25" s="2214"/>
      <c r="E25" s="2214"/>
      <c r="F25" s="2281"/>
      <c r="G25" s="2214"/>
      <c r="H25" s="2214"/>
      <c r="I25" s="2214"/>
      <c r="J25" s="2215"/>
      <c r="K25" s="1280"/>
      <c r="L25" s="2185"/>
      <c r="M25" s="2185"/>
      <c r="N25" s="3013" t="s">
        <v>2736</v>
      </c>
      <c r="O25" s="3014"/>
      <c r="P25" s="3015">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t="e">
        <f>IF(B21="容积率修正",E29+SUM(E33:E39),SUM(V2:V16)+SUM(E33:E39))</f>
        <v>#DIV/0!</v>
      </c>
      <c r="D26" s="2283"/>
      <c r="E26" s="2239"/>
      <c r="F26" s="2284"/>
      <c r="G26" s="2239"/>
      <c r="H26" s="2239"/>
      <c r="I26" s="2239"/>
      <c r="J26" s="2285"/>
      <c r="K26" s="1280"/>
      <c r="L26" s="3016" t="s">
        <v>2635</v>
      </c>
      <c r="M26" s="2212" t="s">
        <v>2700</v>
      </c>
      <c r="N26" s="2212" t="s">
        <v>2701</v>
      </c>
      <c r="O26" s="2212" t="s">
        <v>2702</v>
      </c>
      <c r="P26" s="3017"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t="e">
        <f>E30+SUM(I33:I39)</f>
        <v>#DIV/0!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t="e">
        <f>ROUND(C5*C18*C19*C20*C21*C24,0)</f>
        <v>#DIV/0!</v>
      </c>
      <c r="D29" s="2298"/>
      <c r="E29" s="879" t="e">
        <f>ROUND(C29*D29/10000,0)</f>
        <v>#DIV/0!</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t="e">
        <f>ROUND(IF(E2="工业",C29*M39,C29*M38),0)</f>
        <v>#DIV/0!</v>
      </c>
      <c r="D30" s="2304"/>
      <c r="E30" s="879" t="e">
        <f>ROUND(C30*D30/10000,0)</f>
        <v>#DIV/0!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3"/>
      <c r="B33" s="2314" t="s">
        <v>2751</v>
      </c>
      <c r="C33" s="180" t="e">
        <f>ROUND(D5*C19*C20*C24*F33,0)</f>
        <v>#DIV/0!</v>
      </c>
      <c r="D33" s="2298"/>
      <c r="E33" s="176" t="e">
        <f>ROUND(C33*D33/10000,0)</f>
        <v>#DIV/0!</v>
      </c>
      <c r="F33" s="176">
        <f>SUMIF(修正!A45:A56,G2,修正!B45:B56)</f>
        <v>0.6</v>
      </c>
      <c r="G33" s="176" t="e">
        <f t="shared" ref="G33" si="6">ROUND(IF(E2="工业",C33*$M$39,C33*$M$38),0)</f>
        <v>#DIV/0!</v>
      </c>
      <c r="H33" s="176">
        <f>D33</f>
        <v>0</v>
      </c>
      <c r="I33" s="176" t="e">
        <f>ROUND(G33*H33/10000,0)</f>
        <v>#DIV/0!</v>
      </c>
      <c r="J33" s="3358"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4"/>
      <c r="B34" s="2231" t="s">
        <v>2752</v>
      </c>
      <c r="C34" s="180" t="e">
        <f>ROUND(D5*C19*C20*C24*F34,0)</f>
        <v>#DIV/0!</v>
      </c>
      <c r="D34" s="2298"/>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35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4"/>
      <c r="B35" s="2231" t="s">
        <v>2753</v>
      </c>
      <c r="C35" s="180" t="e">
        <f>ROUND(D5*C19*C20*C24*F35,0)</f>
        <v>#DIV/0!</v>
      </c>
      <c r="D35" s="2298"/>
      <c r="E35" s="176" t="e">
        <f t="shared" si="7"/>
        <v>#DIV/0!</v>
      </c>
      <c r="F35" s="176">
        <f>SUMIF(修正!A45:A56,G2,修正!D45:D56)</f>
        <v>0.2</v>
      </c>
      <c r="G35" s="176" t="e">
        <f>ROUND(IF(E2="工业",C35*$M$39,C35*$M$38),0)</f>
        <v>#DIV/0!</v>
      </c>
      <c r="H35" s="176">
        <f t="shared" si="8"/>
        <v>0</v>
      </c>
      <c r="I35" s="176" t="e">
        <f t="shared" si="9"/>
        <v>#DIV/0!</v>
      </c>
      <c r="J35" s="335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5"/>
      <c r="B36" s="2231" t="s">
        <v>2754</v>
      </c>
      <c r="C36" s="180" t="e">
        <f>ROUND(D5*C19*C20*C24*F36,0)</f>
        <v>#DIV/0!</v>
      </c>
      <c r="D36" s="2298"/>
      <c r="E36" s="176" t="e">
        <f t="shared" si="7"/>
        <v>#DIV/0!</v>
      </c>
      <c r="F36" s="176">
        <f>SUMIF(修正!A45:A56,G2,修正!E45:E56)</f>
        <v>0.2</v>
      </c>
      <c r="G36" s="176" t="e">
        <f>ROUND(IF(E2="工业",C36*$M$39,C36*$M$38),0)</f>
        <v>#DIV/0!</v>
      </c>
      <c r="H36" s="176">
        <f t="shared" si="8"/>
        <v>0</v>
      </c>
      <c r="I36" s="176" t="e">
        <f t="shared" si="9"/>
        <v>#DIV/0!</v>
      </c>
      <c r="J36" s="3355"/>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t="e">
        <f>ROUND(D5*C19*C20*C24*F37,0)</f>
        <v>#DIV/0!</v>
      </c>
      <c r="D37" s="2298"/>
      <c r="E37" s="176" t="e">
        <f t="shared" si="7"/>
        <v>#DIV/0!</v>
      </c>
      <c r="F37" s="180">
        <f>SUMIF(修正!A45:A56,G2,修正!F45:F56)</f>
        <v>0.2</v>
      </c>
      <c r="G37" s="176" t="e">
        <f>ROUND(IF(E2="工业",C37*$M$39,C37*$M$38),0)</f>
        <v>#DIV/0!</v>
      </c>
      <c r="H37" s="176">
        <f t="shared" si="8"/>
        <v>0</v>
      </c>
      <c r="I37" s="176" t="e">
        <f t="shared" si="9"/>
        <v>#DIV/0!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t="e">
        <f>ROUND(D5*C19*C41*C24*F38,0)</f>
        <v>#DIV/0!</v>
      </c>
      <c r="D38" s="2298"/>
      <c r="E38" s="176" t="e">
        <f t="shared" si="7"/>
        <v>#DIV/0!</v>
      </c>
      <c r="F38" s="180">
        <f>SUMIF(修正!A45:A56,G2,修正!G45:G56)</f>
        <v>0.2</v>
      </c>
      <c r="G38" s="176" t="e">
        <f>ROUND(IF(E2="工业",C38*$M$39,C38*$M$38),0)</f>
        <v>#DIV/0!</v>
      </c>
      <c r="H38" s="176">
        <f t="shared" si="8"/>
        <v>0</v>
      </c>
      <c r="I38" s="176" t="e">
        <f t="shared" si="9"/>
        <v>#DIV/0!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t="e">
        <f>ROUND(D5*C19*C41*C24*F39,0)</f>
        <v>#DIV/0!</v>
      </c>
      <c r="D39" s="2304"/>
      <c r="E39" s="193" t="e">
        <f t="shared" si="7"/>
        <v>#DIV/0!</v>
      </c>
      <c r="F39" s="871">
        <f>SUMIF(修正!A45:A56,G2,修正!H45:H56)</f>
        <v>0.15</v>
      </c>
      <c r="G39" s="193" t="e">
        <f>ROUND(IF(E2="工业",C39*$M$39,C39*$M$38),0)</f>
        <v>#DIV/0!</v>
      </c>
      <c r="H39" s="193">
        <f t="shared" si="8"/>
        <v>0</v>
      </c>
      <c r="I39" s="193" t="e">
        <f t="shared" si="9"/>
        <v>#DIV/0!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t="e">
        <f>ROUND(POWER(1+E41,H41-G41)*(POWER(1+E41,G41)-1)/(POWER(1+E41,H41)-1),4)</f>
        <v>#DIV/0!</v>
      </c>
      <c r="D41" s="176" t="s">
        <v>2710</v>
      </c>
      <c r="E41" s="2371">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2418</v>
      </c>
      <c r="K80" s="560" t="s">
        <v>2419</v>
      </c>
      <c r="L80" s="560" t="s">
        <v>2420</v>
      </c>
      <c r="M80" s="560" t="s">
        <v>2421</v>
      </c>
      <c r="N80" s="560" t="s">
        <v>2422</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2772</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2786</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2778</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2779</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2776</v>
      </c>
      <c r="B87" s="2337" t="s">
        <v>2790</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45" t="s">
        <v>2792</v>
      </c>
      <c r="B90" s="3345"/>
      <c r="C90" s="3345"/>
      <c r="D90" s="3345"/>
      <c r="E90" s="3345"/>
      <c r="F90" s="3345"/>
      <c r="G90" s="3345"/>
      <c r="H90" s="3345"/>
      <c r="I90" s="3345"/>
      <c r="J90" s="3345"/>
      <c r="K90" s="2345"/>
      <c r="L90" s="2345"/>
      <c r="M90" s="2345"/>
      <c r="N90" s="2345"/>
    </row>
    <row r="91" spans="1:37">
      <c r="A91" s="3347" t="s">
        <v>2793</v>
      </c>
      <c r="B91" s="3347" t="s">
        <v>2794</v>
      </c>
      <c r="C91" s="2299" t="s">
        <v>2795</v>
      </c>
      <c r="D91" s="2300"/>
      <c r="E91" s="2300"/>
      <c r="F91" s="2300"/>
      <c r="G91" s="2300"/>
      <c r="H91" s="2300"/>
      <c r="I91" s="2300"/>
      <c r="J91" s="2346"/>
      <c r="K91" s="2347"/>
      <c r="L91" s="2347"/>
      <c r="M91" s="2347"/>
      <c r="N91" s="2347"/>
    </row>
    <row r="92" spans="1:37">
      <c r="A92" s="3347"/>
      <c r="B92" s="3347"/>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48"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9"/>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9"/>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9"/>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9"/>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9"/>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9"/>
      <c r="B99" s="2348" t="s">
        <v>2678</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0"/>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8" t="s">
        <v>2797</v>
      </c>
      <c r="B101" s="2352" t="s">
        <v>2798</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49"/>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49"/>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49"/>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49"/>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49"/>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49"/>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49"/>
      <c r="B108" s="3351" t="s">
        <v>2799</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0"/>
      <c r="B109" s="3352"/>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46" t="s">
        <v>2800</v>
      </c>
      <c r="B110" s="3346"/>
      <c r="C110" s="3346"/>
      <c r="D110" s="3346"/>
      <c r="E110" s="3346"/>
      <c r="F110" s="3346"/>
      <c r="G110" s="3346"/>
      <c r="H110" s="3346"/>
      <c r="I110" s="3346"/>
      <c r="J110" s="3346"/>
      <c r="K110" s="2354"/>
      <c r="L110" s="2354"/>
      <c r="M110" s="2354"/>
      <c r="N110" s="2354"/>
    </row>
    <row r="112" spans="1:14" ht="13.5" thickBot="1"/>
    <row r="113" spans="1:13" ht="25.5" thickBot="1">
      <c r="A113" s="842" t="s">
        <v>2801</v>
      </c>
      <c r="B113" s="1197" t="e">
        <f>G3</f>
        <v>#DIV/0!</v>
      </c>
      <c r="C113" s="843" t="s">
        <v>2802</v>
      </c>
      <c r="D113" s="844" t="e">
        <f>SUMPRODUCT((A115:A118=F113)*(B114:M114=H113)*B115:M118)</f>
        <v>#DIV/0!</v>
      </c>
      <c r="E113" s="2190" t="s">
        <v>2635</v>
      </c>
      <c r="F113" s="2356">
        <f>E2</f>
        <v>0</v>
      </c>
      <c r="G113" s="2190" t="s">
        <v>2636</v>
      </c>
      <c r="H113" s="2356" t="str">
        <f>G2</f>
        <v>八级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59" t="s">
        <v>183</v>
      </c>
      <c r="B18" s="821" t="s">
        <v>560</v>
      </c>
      <c r="C18" s="822" t="s">
        <v>561</v>
      </c>
      <c r="D18" s="823"/>
      <c r="E18" s="821">
        <v>1</v>
      </c>
      <c r="F18" s="824" t="s">
        <v>562</v>
      </c>
      <c r="G18" s="825"/>
      <c r="H18" s="817"/>
      <c r="I18" s="817"/>
    </row>
    <row r="19" spans="1:9" s="826" customFormat="1" ht="19.5" customHeight="1">
      <c r="A19" s="3359"/>
      <c r="B19" s="3359" t="s">
        <v>563</v>
      </c>
      <c r="C19" s="822" t="s">
        <v>564</v>
      </c>
      <c r="D19" s="823"/>
      <c r="E19" s="821">
        <v>0.9</v>
      </c>
      <c r="F19" s="824" t="s">
        <v>565</v>
      </c>
      <c r="G19" s="825"/>
      <c r="H19" s="817"/>
      <c r="I19" s="817"/>
    </row>
    <row r="20" spans="1:9" s="826" customFormat="1" ht="19.5" customHeight="1">
      <c r="A20" s="3359"/>
      <c r="B20" s="3359"/>
      <c r="C20" s="822" t="s">
        <v>566</v>
      </c>
      <c r="D20" s="823"/>
      <c r="E20" s="821">
        <v>1.1000000000000001</v>
      </c>
      <c r="F20" s="824" t="s">
        <v>567</v>
      </c>
      <c r="G20" s="825"/>
      <c r="H20" s="817"/>
      <c r="I20" s="817"/>
    </row>
    <row r="21" spans="1:9" s="826" customFormat="1" ht="19.5" customHeight="1">
      <c r="A21" s="3359"/>
      <c r="B21" s="3359"/>
      <c r="C21" s="822" t="s">
        <v>568</v>
      </c>
      <c r="D21" s="823"/>
      <c r="E21" s="821">
        <v>0.8</v>
      </c>
      <c r="F21" s="824" t="s">
        <v>569</v>
      </c>
      <c r="G21" s="825"/>
      <c r="H21" s="817"/>
      <c r="I21" s="817"/>
    </row>
    <row r="22" spans="1:9" s="826" customFormat="1" ht="19.5" customHeight="1">
      <c r="A22" s="3359"/>
      <c r="B22" s="3359"/>
      <c r="C22" s="822" t="s">
        <v>570</v>
      </c>
      <c r="D22" s="823"/>
      <c r="E22" s="821">
        <v>0.5</v>
      </c>
      <c r="F22" s="824"/>
      <c r="G22" s="825"/>
      <c r="H22" s="817"/>
      <c r="I22" s="817"/>
    </row>
    <row r="23" spans="1:9" s="826" customFormat="1" ht="19.5" customHeight="1">
      <c r="A23" s="3359" t="s">
        <v>184</v>
      </c>
      <c r="B23" s="821" t="s">
        <v>560</v>
      </c>
      <c r="C23" s="822" t="s">
        <v>571</v>
      </c>
      <c r="D23" s="823"/>
      <c r="E23" s="821">
        <v>1</v>
      </c>
      <c r="F23" s="824" t="s">
        <v>572</v>
      </c>
      <c r="G23" s="825"/>
      <c r="H23" s="817"/>
      <c r="I23" s="817"/>
    </row>
    <row r="24" spans="1:9" s="826" customFormat="1" ht="19.5" customHeight="1">
      <c r="A24" s="3359"/>
      <c r="B24" s="3359" t="s">
        <v>563</v>
      </c>
      <c r="C24" s="822" t="s">
        <v>573</v>
      </c>
      <c r="D24" s="823"/>
      <c r="E24" s="821">
        <v>0.5</v>
      </c>
      <c r="F24" s="824"/>
      <c r="G24" s="825"/>
      <c r="H24" s="817"/>
      <c r="I24" s="817"/>
    </row>
    <row r="25" spans="1:9" s="826" customFormat="1" ht="19.5" customHeight="1">
      <c r="A25" s="3359"/>
      <c r="B25" s="3359"/>
      <c r="C25" s="822" t="s">
        <v>574</v>
      </c>
      <c r="D25" s="823"/>
      <c r="E25" s="821">
        <v>1.1000000000000001</v>
      </c>
      <c r="F25" s="824"/>
      <c r="G25" s="825"/>
      <c r="H25" s="817"/>
      <c r="I25" s="817"/>
    </row>
    <row r="26" spans="1:9" s="826" customFormat="1" ht="19.5" customHeight="1">
      <c r="A26" s="3359"/>
      <c r="B26" s="3359"/>
      <c r="C26" s="822" t="s">
        <v>575</v>
      </c>
      <c r="D26" s="823"/>
      <c r="E26" s="821">
        <v>1.1000000000000001</v>
      </c>
      <c r="F26" s="824"/>
      <c r="G26" s="825"/>
      <c r="H26" s="817"/>
      <c r="I26" s="817"/>
    </row>
    <row r="27" spans="1:9" s="826" customFormat="1" ht="19.5" customHeight="1">
      <c r="A27" s="3359"/>
      <c r="B27" s="3359"/>
      <c r="C27" s="822" t="s">
        <v>576</v>
      </c>
      <c r="D27" s="823"/>
      <c r="E27" s="821">
        <v>0.9</v>
      </c>
      <c r="F27" s="824" t="s">
        <v>577</v>
      </c>
      <c r="G27" s="825"/>
      <c r="H27" s="817"/>
      <c r="I27" s="817"/>
    </row>
    <row r="28" spans="1:9" s="826" customFormat="1" ht="19.5" customHeight="1">
      <c r="A28" s="3359"/>
      <c r="B28" s="3359"/>
      <c r="C28" s="822" t="s">
        <v>578</v>
      </c>
      <c r="D28" s="823"/>
      <c r="E28" s="821">
        <v>0.9</v>
      </c>
      <c r="F28" s="824" t="s">
        <v>579</v>
      </c>
      <c r="G28" s="825"/>
      <c r="H28" s="817"/>
      <c r="I28" s="817"/>
    </row>
    <row r="29" spans="1:9" s="826" customFormat="1" ht="19.5" customHeight="1">
      <c r="A29" s="3359"/>
      <c r="B29" s="3359"/>
      <c r="C29" s="822" t="s">
        <v>580</v>
      </c>
      <c r="D29" s="823"/>
      <c r="E29" s="821">
        <v>0.9</v>
      </c>
      <c r="F29" s="824" t="s">
        <v>581</v>
      </c>
      <c r="G29" s="825"/>
      <c r="H29" s="817"/>
      <c r="I29" s="817"/>
    </row>
    <row r="30" spans="1:9" s="826" customFormat="1" ht="19.5" customHeight="1">
      <c r="A30" s="3359"/>
      <c r="B30" s="3359"/>
      <c r="C30" s="822" t="s">
        <v>582</v>
      </c>
      <c r="D30" s="823"/>
      <c r="E30" s="821">
        <v>0.9</v>
      </c>
      <c r="F30" s="824" t="s">
        <v>583</v>
      </c>
      <c r="G30" s="825"/>
      <c r="H30" s="817"/>
      <c r="I30" s="817"/>
    </row>
    <row r="31" spans="1:9" s="826" customFormat="1" ht="19.5" customHeight="1">
      <c r="A31" s="3359"/>
      <c r="B31" s="3359"/>
      <c r="C31" s="822" t="s">
        <v>584</v>
      </c>
      <c r="D31" s="823"/>
      <c r="E31" s="821">
        <v>0.8</v>
      </c>
      <c r="F31" s="824" t="s">
        <v>585</v>
      </c>
      <c r="G31" s="825"/>
      <c r="H31" s="817"/>
      <c r="I31" s="817"/>
    </row>
    <row r="32" spans="1:9" s="826" customFormat="1" ht="19.5" customHeight="1">
      <c r="A32" s="3359"/>
      <c r="B32" s="3359"/>
      <c r="C32" s="822" t="s">
        <v>586</v>
      </c>
      <c r="D32" s="823"/>
      <c r="E32" s="821">
        <v>0.8</v>
      </c>
      <c r="F32" s="824" t="s">
        <v>587</v>
      </c>
      <c r="G32" s="825"/>
      <c r="H32" s="817"/>
      <c r="I32" s="817"/>
    </row>
    <row r="33" spans="1:9" s="826" customFormat="1" ht="19.5" customHeight="1">
      <c r="A33" s="3359" t="s">
        <v>185</v>
      </c>
      <c r="B33" s="821" t="s">
        <v>560</v>
      </c>
      <c r="C33" s="822" t="s">
        <v>588</v>
      </c>
      <c r="D33" s="823"/>
      <c r="E33" s="821">
        <v>1</v>
      </c>
      <c r="F33" s="824" t="s">
        <v>589</v>
      </c>
      <c r="G33" s="825"/>
      <c r="H33" s="817"/>
      <c r="I33" s="817"/>
    </row>
    <row r="34" spans="1:9" s="826" customFormat="1" ht="19.5" customHeight="1">
      <c r="A34" s="3359"/>
      <c r="B34" s="821" t="s">
        <v>563</v>
      </c>
      <c r="C34" s="822" t="s">
        <v>590</v>
      </c>
      <c r="D34" s="823"/>
      <c r="E34" s="821">
        <v>1.5</v>
      </c>
      <c r="F34" s="824" t="s">
        <v>591</v>
      </c>
      <c r="G34" s="825"/>
      <c r="H34" s="817"/>
      <c r="I34" s="817"/>
    </row>
    <row r="35" spans="1:9" s="826" customFormat="1" ht="19.5" customHeight="1">
      <c r="A35" s="3359" t="s">
        <v>186</v>
      </c>
      <c r="B35" s="821" t="s">
        <v>560</v>
      </c>
      <c r="C35" s="822" t="s">
        <v>592</v>
      </c>
      <c r="D35" s="823"/>
      <c r="E35" s="821">
        <v>1</v>
      </c>
      <c r="F35" s="824" t="s">
        <v>593</v>
      </c>
      <c r="G35" s="825"/>
      <c r="H35" s="817"/>
      <c r="I35" s="817"/>
    </row>
    <row r="36" spans="1:9" s="826" customFormat="1" ht="19.5" customHeight="1">
      <c r="A36" s="3359"/>
      <c r="B36" s="3359" t="s">
        <v>563</v>
      </c>
      <c r="C36" s="822" t="s">
        <v>594</v>
      </c>
      <c r="D36" s="823"/>
      <c r="E36" s="821">
        <v>1</v>
      </c>
      <c r="F36" s="824" t="s">
        <v>595</v>
      </c>
      <c r="G36" s="825"/>
      <c r="H36" s="817"/>
      <c r="I36" s="817"/>
    </row>
    <row r="37" spans="1:9" s="826" customFormat="1" ht="19.5" customHeight="1">
      <c r="A37" s="3359"/>
      <c r="B37" s="3359"/>
      <c r="C37" s="822" t="s">
        <v>596</v>
      </c>
      <c r="D37" s="823"/>
      <c r="E37" s="821">
        <v>1.5</v>
      </c>
      <c r="F37" s="824" t="s">
        <v>597</v>
      </c>
      <c r="G37" s="825"/>
      <c r="H37" s="817"/>
      <c r="I37" s="817"/>
    </row>
    <row r="38" spans="1:9" s="826" customFormat="1" ht="19.5" customHeight="1">
      <c r="A38" s="3359"/>
      <c r="B38" s="3359"/>
      <c r="C38" s="822" t="s">
        <v>598</v>
      </c>
      <c r="D38" s="823"/>
      <c r="E38" s="821">
        <v>1</v>
      </c>
      <c r="F38" s="824" t="s">
        <v>599</v>
      </c>
      <c r="G38" s="825"/>
      <c r="H38" s="817"/>
      <c r="I38" s="817"/>
    </row>
    <row r="39" spans="1:9" s="826" customFormat="1" ht="19.5" customHeight="1">
      <c r="A39" s="3359"/>
      <c r="B39" s="335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59" t="s">
        <v>614</v>
      </c>
      <c r="C61" s="757" t="s">
        <v>615</v>
      </c>
      <c r="D61" s="757" t="s">
        <v>616</v>
      </c>
      <c r="E61" s="834">
        <v>0.5</v>
      </c>
      <c r="F61" s="821">
        <v>80</v>
      </c>
    </row>
    <row r="62" spans="1:8" s="817" customFormat="1" ht="24">
      <c r="A62" s="821">
        <v>2</v>
      </c>
      <c r="B62" s="3359"/>
      <c r="C62" s="757" t="s">
        <v>617</v>
      </c>
      <c r="D62" s="757" t="s">
        <v>618</v>
      </c>
      <c r="E62" s="834">
        <v>0.5</v>
      </c>
      <c r="F62" s="821">
        <v>80</v>
      </c>
    </row>
    <row r="63" spans="1:8" s="817" customFormat="1" ht="36">
      <c r="A63" s="821">
        <v>3</v>
      </c>
      <c r="B63" s="3359"/>
      <c r="C63" s="757" t="s">
        <v>619</v>
      </c>
      <c r="D63" s="757" t="s">
        <v>620</v>
      </c>
      <c r="E63" s="834">
        <v>0.5</v>
      </c>
      <c r="F63" s="821">
        <v>80</v>
      </c>
    </row>
    <row r="64" spans="1:8" s="817" customFormat="1" ht="36">
      <c r="A64" s="821">
        <v>4</v>
      </c>
      <c r="B64" s="3359"/>
      <c r="C64" s="757" t="s">
        <v>621</v>
      </c>
      <c r="D64" s="757" t="s">
        <v>622</v>
      </c>
      <c r="E64" s="834">
        <v>0.4</v>
      </c>
      <c r="F64" s="821">
        <v>60</v>
      </c>
    </row>
    <row r="65" spans="1:6" s="817" customFormat="1" ht="36">
      <c r="A65" s="821">
        <v>5</v>
      </c>
      <c r="B65" s="3359"/>
      <c r="C65" s="757" t="s">
        <v>623</v>
      </c>
      <c r="D65" s="757" t="s">
        <v>624</v>
      </c>
      <c r="E65" s="834">
        <v>0.2</v>
      </c>
      <c r="F65" s="821">
        <v>30</v>
      </c>
    </row>
    <row r="66" spans="1:6" s="817" customFormat="1" ht="36">
      <c r="A66" s="821">
        <v>6</v>
      </c>
      <c r="B66" s="3359"/>
      <c r="C66" s="757" t="s">
        <v>625</v>
      </c>
      <c r="D66" s="757" t="s">
        <v>626</v>
      </c>
      <c r="E66" s="834">
        <v>0.3</v>
      </c>
      <c r="F66" s="821">
        <v>50</v>
      </c>
    </row>
    <row r="67" spans="1:6" s="817" customFormat="1" ht="36">
      <c r="A67" s="821">
        <v>7</v>
      </c>
      <c r="B67" s="3359"/>
      <c r="C67" s="757" t="s">
        <v>627</v>
      </c>
      <c r="D67" s="757" t="s">
        <v>628</v>
      </c>
      <c r="E67" s="834">
        <v>0.2</v>
      </c>
      <c r="F67" s="821">
        <v>30</v>
      </c>
    </row>
    <row r="68" spans="1:6" s="817" customFormat="1" ht="36">
      <c r="A68" s="821">
        <v>8</v>
      </c>
      <c r="B68" s="3359"/>
      <c r="C68" s="757" t="s">
        <v>629</v>
      </c>
      <c r="D68" s="757" t="s">
        <v>630</v>
      </c>
      <c r="E68" s="834">
        <v>0.2</v>
      </c>
      <c r="F68" s="821">
        <v>30</v>
      </c>
    </row>
    <row r="69" spans="1:6" s="817" customFormat="1" ht="36">
      <c r="A69" s="821">
        <v>9</v>
      </c>
      <c r="B69" s="3359"/>
      <c r="C69" s="757" t="s">
        <v>631</v>
      </c>
      <c r="D69" s="757" t="s">
        <v>632</v>
      </c>
      <c r="E69" s="834">
        <v>0.2</v>
      </c>
      <c r="F69" s="821">
        <v>30</v>
      </c>
    </row>
    <row r="70" spans="1:6" s="817" customFormat="1" ht="48">
      <c r="A70" s="821">
        <v>10</v>
      </c>
      <c r="B70" s="3359"/>
      <c r="C70" s="757" t="s">
        <v>633</v>
      </c>
      <c r="D70" s="757" t="s">
        <v>634</v>
      </c>
      <c r="E70" s="834">
        <v>0.2</v>
      </c>
      <c r="F70" s="821">
        <v>30</v>
      </c>
    </row>
    <row r="71" spans="1:6" s="817" customFormat="1" ht="48">
      <c r="A71" s="821">
        <v>11</v>
      </c>
      <c r="B71" s="3359"/>
      <c r="C71" s="757" t="s">
        <v>635</v>
      </c>
      <c r="D71" s="757" t="s">
        <v>636</v>
      </c>
      <c r="E71" s="834">
        <v>0.2</v>
      </c>
      <c r="F71" s="821">
        <v>30</v>
      </c>
    </row>
    <row r="72" spans="1:6" s="817" customFormat="1" ht="36">
      <c r="A72" s="821">
        <v>12</v>
      </c>
      <c r="B72" s="3359"/>
      <c r="C72" s="757" t="s">
        <v>637</v>
      </c>
      <c r="D72" s="757" t="s">
        <v>638</v>
      </c>
      <c r="E72" s="834">
        <v>0.5</v>
      </c>
      <c r="F72" s="821">
        <v>80</v>
      </c>
    </row>
    <row r="73" spans="1:6" s="817" customFormat="1" ht="24">
      <c r="A73" s="821">
        <v>13</v>
      </c>
      <c r="B73" s="3359"/>
      <c r="C73" s="757" t="s">
        <v>639</v>
      </c>
      <c r="D73" s="757" t="s">
        <v>640</v>
      </c>
      <c r="E73" s="834">
        <v>0.4</v>
      </c>
      <c r="F73" s="821">
        <v>60</v>
      </c>
    </row>
    <row r="74" spans="1:6" s="817" customFormat="1" ht="24">
      <c r="A74" s="821">
        <v>14</v>
      </c>
      <c r="B74" s="3359"/>
      <c r="C74" s="757" t="s">
        <v>641</v>
      </c>
      <c r="D74" s="757" t="s">
        <v>642</v>
      </c>
      <c r="E74" s="834">
        <v>0.2</v>
      </c>
      <c r="F74" s="821">
        <v>30</v>
      </c>
    </row>
    <row r="75" spans="1:6" s="817" customFormat="1" ht="24">
      <c r="A75" s="821">
        <v>15</v>
      </c>
      <c r="B75" s="3359"/>
      <c r="C75" s="757" t="s">
        <v>643</v>
      </c>
      <c r="D75" s="757" t="s">
        <v>644</v>
      </c>
      <c r="E75" s="834">
        <v>0.2</v>
      </c>
      <c r="F75" s="821">
        <v>30</v>
      </c>
    </row>
    <row r="76" spans="1:6" s="817" customFormat="1" ht="24">
      <c r="A76" s="821">
        <v>16</v>
      </c>
      <c r="B76" s="3359" t="s">
        <v>645</v>
      </c>
      <c r="C76" s="757" t="s">
        <v>646</v>
      </c>
      <c r="D76" s="757" t="s">
        <v>647</v>
      </c>
      <c r="E76" s="834">
        <v>0.5</v>
      </c>
      <c r="F76" s="821">
        <v>80</v>
      </c>
    </row>
    <row r="77" spans="1:6" s="817" customFormat="1" ht="24">
      <c r="A77" s="821">
        <v>17</v>
      </c>
      <c r="B77" s="3359"/>
      <c r="C77" s="757" t="s">
        <v>648</v>
      </c>
      <c r="D77" s="757" t="s">
        <v>649</v>
      </c>
      <c r="E77" s="834">
        <v>0.5</v>
      </c>
      <c r="F77" s="821">
        <v>80</v>
      </c>
    </row>
    <row r="78" spans="1:6" s="817" customFormat="1" ht="24">
      <c r="A78" s="821">
        <v>18</v>
      </c>
      <c r="B78" s="3359"/>
      <c r="C78" s="757" t="s">
        <v>650</v>
      </c>
      <c r="D78" s="757" t="s">
        <v>651</v>
      </c>
      <c r="E78" s="834">
        <v>0.2</v>
      </c>
      <c r="F78" s="821">
        <v>30</v>
      </c>
    </row>
    <row r="79" spans="1:6" s="817" customFormat="1" ht="24">
      <c r="A79" s="821">
        <v>19</v>
      </c>
      <c r="B79" s="3359"/>
      <c r="C79" s="757" t="s">
        <v>652</v>
      </c>
      <c r="D79" s="757" t="s">
        <v>653</v>
      </c>
      <c r="E79" s="834">
        <v>0.5</v>
      </c>
      <c r="F79" s="821">
        <v>80</v>
      </c>
    </row>
    <row r="80" spans="1:6" s="817" customFormat="1" ht="36">
      <c r="A80" s="821">
        <v>20</v>
      </c>
      <c r="B80" s="3359"/>
      <c r="C80" s="757" t="s">
        <v>654</v>
      </c>
      <c r="D80" s="757" t="s">
        <v>655</v>
      </c>
      <c r="E80" s="834">
        <v>0.2</v>
      </c>
      <c r="F80" s="821">
        <v>30</v>
      </c>
    </row>
    <row r="81" spans="1:6" s="817" customFormat="1" ht="36">
      <c r="A81" s="821">
        <v>21</v>
      </c>
      <c r="B81" s="3359"/>
      <c r="C81" s="757" t="s">
        <v>656</v>
      </c>
      <c r="D81" s="757" t="s">
        <v>657</v>
      </c>
      <c r="E81" s="834">
        <v>0.2</v>
      </c>
      <c r="F81" s="821">
        <v>30</v>
      </c>
    </row>
    <row r="82" spans="1:6" s="817" customFormat="1" ht="48">
      <c r="A82" s="821">
        <v>22</v>
      </c>
      <c r="B82" s="3359"/>
      <c r="C82" s="757" t="s">
        <v>658</v>
      </c>
      <c r="D82" s="757" t="s">
        <v>659</v>
      </c>
      <c r="E82" s="834">
        <v>0.2</v>
      </c>
      <c r="F82" s="821">
        <v>30</v>
      </c>
    </row>
    <row r="83" spans="1:6" s="817" customFormat="1" ht="48">
      <c r="A83" s="821">
        <v>23</v>
      </c>
      <c r="B83" s="3359"/>
      <c r="C83" s="757" t="s">
        <v>660</v>
      </c>
      <c r="D83" s="757" t="s">
        <v>661</v>
      </c>
      <c r="E83" s="834">
        <v>0.2</v>
      </c>
      <c r="F83" s="821">
        <v>30</v>
      </c>
    </row>
    <row r="84" spans="1:6" s="817" customFormat="1" ht="36">
      <c r="A84" s="821">
        <v>24</v>
      </c>
      <c r="B84" s="3359"/>
      <c r="C84" s="757" t="s">
        <v>662</v>
      </c>
      <c r="D84" s="757" t="s">
        <v>663</v>
      </c>
      <c r="E84" s="834">
        <v>0.2</v>
      </c>
      <c r="F84" s="821">
        <v>30</v>
      </c>
    </row>
    <row r="85" spans="1:6" s="817" customFormat="1" ht="36">
      <c r="A85" s="821">
        <v>25</v>
      </c>
      <c r="B85" s="3359"/>
      <c r="C85" s="757" t="s">
        <v>664</v>
      </c>
      <c r="D85" s="757" t="s">
        <v>665</v>
      </c>
      <c r="E85" s="834">
        <v>0.5</v>
      </c>
      <c r="F85" s="821">
        <v>80</v>
      </c>
    </row>
    <row r="86" spans="1:6" s="817" customFormat="1" ht="36">
      <c r="A86" s="821">
        <v>26</v>
      </c>
      <c r="B86" s="3359"/>
      <c r="C86" s="757" t="s">
        <v>666</v>
      </c>
      <c r="D86" s="757" t="s">
        <v>667</v>
      </c>
      <c r="E86" s="834">
        <v>0.2</v>
      </c>
      <c r="F86" s="821">
        <v>30</v>
      </c>
    </row>
    <row r="87" spans="1:6" s="817" customFormat="1" ht="36">
      <c r="A87" s="821">
        <v>27</v>
      </c>
      <c r="B87" s="3359"/>
      <c r="C87" s="757" t="s">
        <v>668</v>
      </c>
      <c r="D87" s="757" t="s">
        <v>669</v>
      </c>
      <c r="E87" s="834">
        <v>0.2</v>
      </c>
      <c r="F87" s="821">
        <v>30</v>
      </c>
    </row>
    <row r="88" spans="1:6" s="817" customFormat="1" ht="36">
      <c r="A88" s="821">
        <v>28</v>
      </c>
      <c r="B88" s="3359"/>
      <c r="C88" s="757" t="s">
        <v>670</v>
      </c>
      <c r="D88" s="757" t="s">
        <v>671</v>
      </c>
      <c r="E88" s="834">
        <v>0.2</v>
      </c>
      <c r="F88" s="821">
        <v>30</v>
      </c>
    </row>
    <row r="89" spans="1:6" s="817" customFormat="1" ht="24">
      <c r="A89" s="821">
        <v>29</v>
      </c>
      <c r="B89" s="3359"/>
      <c r="C89" s="757" t="s">
        <v>672</v>
      </c>
      <c r="D89" s="757" t="s">
        <v>673</v>
      </c>
      <c r="E89" s="834">
        <v>0.2</v>
      </c>
      <c r="F89" s="821">
        <v>30</v>
      </c>
    </row>
    <row r="90" spans="1:6" s="817" customFormat="1" ht="24">
      <c r="A90" s="821">
        <v>30</v>
      </c>
      <c r="B90" s="3359"/>
      <c r="C90" s="757" t="s">
        <v>674</v>
      </c>
      <c r="D90" s="757" t="s">
        <v>675</v>
      </c>
      <c r="E90" s="834">
        <v>0.2</v>
      </c>
      <c r="F90" s="821">
        <v>30</v>
      </c>
    </row>
    <row r="91" spans="1:6" s="817" customFormat="1" ht="36">
      <c r="A91" s="821">
        <v>31</v>
      </c>
      <c r="B91" s="3359"/>
      <c r="C91" s="757" t="s">
        <v>676</v>
      </c>
      <c r="D91" s="757" t="s">
        <v>677</v>
      </c>
      <c r="E91" s="834">
        <v>0.2</v>
      </c>
      <c r="F91" s="821">
        <v>30</v>
      </c>
    </row>
    <row r="92" spans="1:6" s="817" customFormat="1" ht="24">
      <c r="A92" s="821">
        <v>32</v>
      </c>
      <c r="B92" s="3359" t="s">
        <v>678</v>
      </c>
      <c r="C92" s="821" t="s">
        <v>679</v>
      </c>
      <c r="D92" s="757" t="s">
        <v>680</v>
      </c>
      <c r="E92" s="834">
        <v>0.2</v>
      </c>
      <c r="F92" s="821">
        <v>30</v>
      </c>
    </row>
    <row r="93" spans="1:6" s="817" customFormat="1" ht="36">
      <c r="A93" s="821">
        <v>33</v>
      </c>
      <c r="B93" s="3359"/>
      <c r="C93" s="821" t="s">
        <v>681</v>
      </c>
      <c r="D93" s="757" t="s">
        <v>682</v>
      </c>
      <c r="E93" s="834">
        <v>0.2</v>
      </c>
      <c r="F93" s="821">
        <v>30</v>
      </c>
    </row>
    <row r="94" spans="1:6" s="817" customFormat="1" ht="48">
      <c r="A94" s="821">
        <v>34</v>
      </c>
      <c r="B94" s="3359"/>
      <c r="C94" s="821" t="s">
        <v>683</v>
      </c>
      <c r="D94" s="757" t="s">
        <v>684</v>
      </c>
      <c r="E94" s="834">
        <v>0.2</v>
      </c>
      <c r="F94" s="821">
        <v>30</v>
      </c>
    </row>
    <row r="95" spans="1:6" s="817" customFormat="1" ht="36">
      <c r="A95" s="821">
        <v>35</v>
      </c>
      <c r="B95" s="3359"/>
      <c r="C95" s="821" t="s">
        <v>685</v>
      </c>
      <c r="D95" s="757" t="s">
        <v>686</v>
      </c>
      <c r="E95" s="834">
        <v>0.2</v>
      </c>
      <c r="F95" s="821">
        <v>30</v>
      </c>
    </row>
    <row r="96" spans="1:6" s="817" customFormat="1" ht="48">
      <c r="A96" s="821">
        <v>36</v>
      </c>
      <c r="B96" s="3359"/>
      <c r="C96" s="757" t="s">
        <v>687</v>
      </c>
      <c r="D96" s="757" t="s">
        <v>688</v>
      </c>
      <c r="E96" s="834">
        <v>0.2</v>
      </c>
      <c r="F96" s="821">
        <v>30</v>
      </c>
    </row>
    <row r="97" spans="1:6" s="817" customFormat="1" ht="36">
      <c r="A97" s="821">
        <v>37</v>
      </c>
      <c r="B97" s="3359"/>
      <c r="C97" s="821" t="s">
        <v>689</v>
      </c>
      <c r="D97" s="757" t="s">
        <v>690</v>
      </c>
      <c r="E97" s="834">
        <v>0.2</v>
      </c>
      <c r="F97" s="821">
        <v>30</v>
      </c>
    </row>
    <row r="98" spans="1:6" s="817" customFormat="1" ht="36">
      <c r="A98" s="821">
        <v>38</v>
      </c>
      <c r="B98" s="3359"/>
      <c r="C98" s="821" t="s">
        <v>691</v>
      </c>
      <c r="D98" s="757" t="s">
        <v>692</v>
      </c>
      <c r="E98" s="834">
        <v>0.2</v>
      </c>
      <c r="F98" s="821">
        <v>30</v>
      </c>
    </row>
    <row r="99" spans="1:6" s="817" customFormat="1" ht="36">
      <c r="A99" s="821">
        <v>39</v>
      </c>
      <c r="B99" s="3359" t="s">
        <v>693</v>
      </c>
      <c r="C99" s="821" t="s">
        <v>694</v>
      </c>
      <c r="D99" s="757" t="s">
        <v>695</v>
      </c>
      <c r="E99" s="834">
        <v>0.3</v>
      </c>
      <c r="F99" s="821">
        <v>50</v>
      </c>
    </row>
    <row r="100" spans="1:6" s="817" customFormat="1" ht="24">
      <c r="A100" s="821">
        <v>40</v>
      </c>
      <c r="B100" s="3359"/>
      <c r="C100" s="821" t="s">
        <v>696</v>
      </c>
      <c r="D100" s="757" t="s">
        <v>697</v>
      </c>
      <c r="E100" s="834">
        <v>0.2</v>
      </c>
      <c r="F100" s="821">
        <v>30</v>
      </c>
    </row>
    <row r="101" spans="1:6" s="817" customFormat="1" ht="36">
      <c r="A101" s="821">
        <v>41</v>
      </c>
      <c r="B101" s="335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59" t="s">
        <v>708</v>
      </c>
      <c r="C105" s="821" t="s">
        <v>709</v>
      </c>
      <c r="D105" s="757" t="s">
        <v>710</v>
      </c>
      <c r="E105" s="834">
        <v>0.2</v>
      </c>
      <c r="F105" s="821">
        <v>30</v>
      </c>
    </row>
    <row r="106" spans="1:6" s="817" customFormat="1" ht="36">
      <c r="A106" s="821">
        <v>46</v>
      </c>
      <c r="B106" s="3359"/>
      <c r="C106" s="821" t="s">
        <v>711</v>
      </c>
      <c r="D106" s="757" t="s">
        <v>712</v>
      </c>
      <c r="E106" s="834">
        <v>0.2</v>
      </c>
      <c r="F106" s="821">
        <v>30</v>
      </c>
    </row>
    <row r="107" spans="1:6" s="817" customFormat="1" ht="36">
      <c r="A107" s="821">
        <v>47</v>
      </c>
      <c r="B107" s="3359" t="s">
        <v>713</v>
      </c>
      <c r="C107" s="821" t="s">
        <v>714</v>
      </c>
      <c r="D107" s="757" t="s">
        <v>715</v>
      </c>
      <c r="E107" s="834">
        <v>0.3</v>
      </c>
      <c r="F107" s="821">
        <v>50</v>
      </c>
    </row>
    <row r="108" spans="1:6" s="817" customFormat="1" ht="36">
      <c r="A108" s="821">
        <v>48</v>
      </c>
      <c r="B108" s="335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59" t="s">
        <v>724</v>
      </c>
      <c r="C111" s="821" t="s">
        <v>725</v>
      </c>
      <c r="D111" s="757" t="s">
        <v>726</v>
      </c>
      <c r="E111" s="834">
        <v>0.2</v>
      </c>
      <c r="F111" s="821">
        <v>30</v>
      </c>
    </row>
    <row r="112" spans="1:6" s="817" customFormat="1" ht="24">
      <c r="A112" s="821">
        <v>52</v>
      </c>
      <c r="B112" s="3359"/>
      <c r="C112" s="821" t="s">
        <v>727</v>
      </c>
      <c r="D112" s="757" t="s">
        <v>728</v>
      </c>
      <c r="E112" s="834">
        <v>0.2</v>
      </c>
      <c r="F112" s="821">
        <v>30</v>
      </c>
    </row>
    <row r="113" spans="1:6" s="817" customFormat="1" ht="24">
      <c r="A113" s="821">
        <v>53</v>
      </c>
      <c r="B113" s="335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59" t="s">
        <v>737</v>
      </c>
      <c r="C116" s="821" t="s">
        <v>738</v>
      </c>
      <c r="D116" s="757" t="s">
        <v>739</v>
      </c>
      <c r="E116" s="834">
        <v>0.2</v>
      </c>
      <c r="F116" s="821">
        <v>30</v>
      </c>
    </row>
    <row r="117" spans="1:6" ht="36">
      <c r="A117" s="821">
        <v>57</v>
      </c>
      <c r="B117" s="335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3"/>
      <c r="G1" s="3023"/>
      <c r="H1" s="3023"/>
      <c r="I1" s="3023"/>
      <c r="J1" s="3023"/>
      <c r="K1" s="3023"/>
      <c r="L1" s="3023"/>
      <c r="M1" s="3023"/>
      <c r="N1" s="3023"/>
      <c r="O1" s="3023"/>
      <c r="P1" s="3023"/>
    </row>
    <row r="2" spans="1:16" ht="15.75">
      <c r="A2" s="2363" t="s">
        <v>2815</v>
      </c>
      <c r="B2" s="2827" t="e">
        <f ca="1">SUMIF(B6:B13,"&lt;&gt;#ref!",B6:B13)</f>
        <v>#DIV/0!</v>
      </c>
      <c r="C2" s="2363" t="s">
        <v>2816</v>
      </c>
      <c r="D2" s="2363" t="s">
        <v>2817</v>
      </c>
      <c r="E2" s="2837">
        <f ca="1">SUMIF(E6:E13,"&lt;&gt;#ref!",E6:E13)</f>
        <v>0</v>
      </c>
      <c r="F2" s="3023"/>
      <c r="G2" s="3023"/>
      <c r="H2" s="3023"/>
      <c r="I2" s="3023"/>
      <c r="J2" s="3023"/>
      <c r="K2" s="3023"/>
      <c r="L2" s="3023"/>
      <c r="M2" s="3023"/>
      <c r="N2" s="3023"/>
      <c r="O2" s="3023"/>
      <c r="P2" s="3023"/>
    </row>
    <row r="3" spans="1:16" ht="15.75">
      <c r="A3" s="2363" t="s">
        <v>2818</v>
      </c>
      <c r="B3" s="2827" t="e">
        <f ca="1">ROUND(B2*10000/E2,0)</f>
        <v>#DIV/0!</v>
      </c>
      <c r="C3" s="2363" t="s">
        <v>2824</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2819</v>
      </c>
      <c r="B5" s="2835" t="s">
        <v>2820</v>
      </c>
      <c r="C5" s="2364"/>
      <c r="D5" s="3023"/>
      <c r="E5" s="2836" t="s">
        <v>2821</v>
      </c>
      <c r="F5" s="3023"/>
      <c r="G5" s="3023"/>
      <c r="H5" s="3023"/>
      <c r="I5" s="3023"/>
      <c r="J5" s="3023"/>
      <c r="K5" s="3023"/>
      <c r="L5" s="3023"/>
      <c r="M5" s="3023"/>
      <c r="N5" s="3023"/>
      <c r="O5" s="3023"/>
      <c r="P5" s="3023"/>
    </row>
    <row r="6" spans="1:16" ht="15.75">
      <c r="A6" s="2834" t="s">
        <v>2822</v>
      </c>
      <c r="B6" s="2827" t="e">
        <f ca="1">SUMIF(INDIRECT("'"&amp;A6&amp;"'"&amp;"!A:A"),"总价",INDIRECT("'"&amp;A6&amp;"'"&amp;"!B:B"))</f>
        <v>#DIV/0!</v>
      </c>
      <c r="C6" s="2363" t="s">
        <v>2816</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3" t="s">
        <v>2816</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3" t="s">
        <v>2816</v>
      </c>
      <c r="D8" s="3023"/>
      <c r="E8" s="2837" t="e">
        <f t="shared" ca="1" si="0"/>
        <v>#REF!</v>
      </c>
      <c r="F8" s="3023"/>
      <c r="G8" s="3023"/>
      <c r="H8" s="3023"/>
      <c r="I8" s="3023"/>
      <c r="J8" s="3023"/>
      <c r="K8" s="3023"/>
      <c r="L8" s="3023"/>
      <c r="M8" s="3023"/>
      <c r="N8" s="3023"/>
      <c r="O8" s="3023"/>
      <c r="P8" s="3023"/>
    </row>
    <row r="9" spans="1:16" ht="15.75">
      <c r="A9" s="2834"/>
      <c r="B9" s="2827" t="e">
        <f t="shared" ca="1" si="1"/>
        <v>#REF!</v>
      </c>
      <c r="C9" s="2363" t="s">
        <v>2816</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3" t="s">
        <v>2816</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3" t="s">
        <v>2816</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3" t="s">
        <v>2816</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3" t="s">
        <v>2816</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5" t="s">
        <v>1117</v>
      </c>
      <c r="C1" s="3365"/>
      <c r="D1" s="3365"/>
      <c r="E1" s="3365"/>
      <c r="F1" s="3365"/>
      <c r="G1" s="3364" t="s">
        <v>1118</v>
      </c>
      <c r="H1" s="3364"/>
      <c r="I1" s="3364"/>
      <c r="J1" s="3364"/>
      <c r="K1" s="3364"/>
      <c r="L1" s="3364"/>
      <c r="N1" s="3364" t="s">
        <v>1119</v>
      </c>
      <c r="O1" s="3364"/>
      <c r="P1" s="3364"/>
      <c r="Q1" s="3364"/>
      <c r="S1" s="3364" t="s">
        <v>1120</v>
      </c>
      <c r="T1" s="3364"/>
      <c r="U1" s="3364"/>
      <c r="V1" s="3364"/>
      <c r="X1" s="3363" t="s">
        <v>1121</v>
      </c>
      <c r="Y1" s="3364"/>
      <c r="Z1" s="3364"/>
      <c r="AA1" s="3364"/>
      <c r="AB1" s="3364"/>
      <c r="AD1" s="3363" t="s">
        <v>1122</v>
      </c>
      <c r="AE1" s="3364"/>
      <c r="AF1" s="3364"/>
      <c r="AG1" s="3364"/>
      <c r="AH1" s="336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3058</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39">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39">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2873</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2871</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2870</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2869</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2867</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2865</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2868</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61">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2863</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61"/>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2862</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61"/>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2855</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0"/>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2853</v>
      </c>
      <c r="B17" s="2440">
        <v>439</v>
      </c>
      <c r="C17" s="2440">
        <v>327</v>
      </c>
      <c r="D17" s="2440">
        <f>C17</f>
        <v>327</v>
      </c>
      <c r="E17" s="2440">
        <v>627</v>
      </c>
      <c r="F17" s="2441">
        <v>283</v>
      </c>
      <c r="G17" s="3366">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2854</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61"/>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61"/>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0"/>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66">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61"/>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61"/>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62"/>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0">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61"/>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61"/>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62"/>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0">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61"/>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61"/>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62"/>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67">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68"/>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68"/>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69"/>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0">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61"/>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61"/>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62"/>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0">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61">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61">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62">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0">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61">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61">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62">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0">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61">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61">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62">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0">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61">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61">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62">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0">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61">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61">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62">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0">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61">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61">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62">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0">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61">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61">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62">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0">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61">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61">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62">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0">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61">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61">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62">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0">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61">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61">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62">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74" t="s">
        <v>2826</v>
      </c>
      <c r="D1" s="3375"/>
      <c r="E1" s="3375"/>
      <c r="F1" s="3375"/>
      <c r="G1" s="3375"/>
      <c r="H1" s="3375"/>
      <c r="I1" s="3375"/>
      <c r="J1" s="3375"/>
      <c r="K1" s="3375"/>
      <c r="L1" s="3375"/>
      <c r="M1" s="3375"/>
      <c r="N1" s="3375"/>
      <c r="O1" s="3375"/>
      <c r="P1" s="3375"/>
      <c r="Q1" s="3375"/>
      <c r="R1" s="3375"/>
      <c r="S1" s="3376"/>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71" t="s">
        <v>33</v>
      </c>
      <c r="D22" s="3372"/>
      <c r="E22" s="3372"/>
      <c r="F22" s="3372"/>
      <c r="G22" s="3372"/>
      <c r="H22" s="3372"/>
      <c r="I22" s="3372"/>
      <c r="J22" s="3372"/>
      <c r="K22" s="3372"/>
      <c r="L22" s="3372"/>
      <c r="M22" s="3372"/>
      <c r="N22" s="3372"/>
      <c r="O22" s="3372"/>
      <c r="P22" s="3372"/>
      <c r="Q22" s="3373"/>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9.5" thickBot="1">
      <c r="A4" s="1680"/>
      <c r="B4" s="3046" t="s">
        <v>1595</v>
      </c>
      <c r="C4" s="3046"/>
      <c r="D4" s="3046"/>
      <c r="E4" s="1680"/>
    </row>
    <row r="5" spans="1:5" ht="16.5" thickTop="1">
      <c r="A5" s="1678"/>
      <c r="B5" s="3044" t="s">
        <v>1587</v>
      </c>
      <c r="C5" s="1681" t="s">
        <v>1588</v>
      </c>
      <c r="D5" s="959" t="e">
        <f ca="1">结果表!H101</f>
        <v>#REF!</v>
      </c>
      <c r="E5" s="1678"/>
    </row>
    <row r="6" spans="1:5" ht="15.75">
      <c r="A6" s="1678"/>
      <c r="B6" s="3044"/>
      <c r="C6" s="1681" t="s">
        <v>1589</v>
      </c>
      <c r="D6" s="959" t="e">
        <f ca="1">NUMBERSTRING(INT(D5*10000),2)&amp;"元整"</f>
        <v>#REF!</v>
      </c>
      <c r="E6" s="1678"/>
    </row>
    <row r="7" spans="1:5" ht="15.75">
      <c r="A7" s="1678"/>
      <c r="B7" s="3049"/>
      <c r="C7" s="1682" t="s">
        <v>1590</v>
      </c>
      <c r="D7" s="960" t="e">
        <f ca="1">结果表!H102</f>
        <v>#REF!</v>
      </c>
      <c r="E7" s="1678"/>
    </row>
    <row r="8" spans="1:5" ht="15.75">
      <c r="A8" s="1678"/>
      <c r="B8" s="3050" t="str">
        <f>结果表!E103</f>
        <v>2.估价师知悉的法定优先受偿款</v>
      </c>
      <c r="C8" s="1683" t="s">
        <v>1591</v>
      </c>
      <c r="D8" s="960">
        <f>结果表!H103</f>
        <v>0</v>
      </c>
      <c r="E8" s="1678"/>
    </row>
    <row r="9" spans="1:5" ht="15.75">
      <c r="A9" s="1678"/>
      <c r="B9" s="3052"/>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3" t="str">
        <f>结果表!E107</f>
        <v>3.房地产抵押价值</v>
      </c>
      <c r="C13" s="1686" t="s">
        <v>1588</v>
      </c>
      <c r="D13" s="962" t="e">
        <f ca="1">结果表!H107</f>
        <v>#REF!</v>
      </c>
      <c r="E13" s="1678"/>
    </row>
    <row r="14" spans="1:5" ht="15.75">
      <c r="A14" s="1678"/>
      <c r="B14" s="3044"/>
      <c r="C14" s="1681" t="s">
        <v>1589</v>
      </c>
      <c r="D14" s="959" t="e">
        <f ca="1">NUMBERSTRING(INT(D13*10000),2)&amp;"元整"</f>
        <v>#REF!</v>
      </c>
      <c r="E14" s="1678"/>
    </row>
    <row r="15" spans="1:5" ht="15">
      <c r="A15" s="1678"/>
      <c r="B15" s="3049"/>
      <c r="C15" s="1682" t="s">
        <v>1599</v>
      </c>
      <c r="D15" s="968" t="e">
        <f ca="1">结果表!H108</f>
        <v>#REF!</v>
      </c>
      <c r="E15" s="1678"/>
    </row>
    <row r="16" spans="1:5" ht="15">
      <c r="A16" s="1678"/>
      <c r="B16" s="3050" t="str">
        <f>结果表!E109</f>
        <v>——</v>
      </c>
      <c r="C16" s="1686" t="s">
        <v>1600</v>
      </c>
      <c r="D16" s="1687" t="str">
        <f>结果表!H109</f>
        <v>——</v>
      </c>
      <c r="E16" s="1678"/>
    </row>
    <row r="17" spans="1:5" ht="15.75">
      <c r="A17" s="1678"/>
      <c r="B17" s="3051"/>
      <c r="C17" s="1681" t="s">
        <v>1601</v>
      </c>
      <c r="D17" s="959" t="e">
        <f>NUMBERSTRING(INT(D16*10000),2)&amp;"元整"</f>
        <v>#VALUE!</v>
      </c>
      <c r="E17" s="1678"/>
    </row>
    <row r="18" spans="1:5" ht="15">
      <c r="A18" s="1678"/>
      <c r="B18" s="3052"/>
      <c r="C18" s="1682" t="s">
        <v>1590</v>
      </c>
      <c r="D18" s="968" t="str">
        <f>结果表!H110</f>
        <v>——</v>
      </c>
      <c r="E18" s="1678"/>
    </row>
    <row r="19" spans="1:5" ht="15.75">
      <c r="A19" s="1678"/>
      <c r="B19" s="3043" t="str">
        <f>结果表!E111</f>
        <v>——</v>
      </c>
      <c r="C19" s="1686" t="s">
        <v>1588</v>
      </c>
      <c r="D19" s="960" t="str">
        <f>结果表!H111</f>
        <v>——</v>
      </c>
      <c r="E19" s="1678"/>
    </row>
    <row r="20" spans="1:5" ht="15.75">
      <c r="A20" s="1678"/>
      <c r="B20" s="3044"/>
      <c r="C20" s="1681" t="s">
        <v>1601</v>
      </c>
      <c r="D20" s="959" t="e">
        <f>NUMBERSTRING(INT(D19*10000),2)&amp;"元整"</f>
        <v>#VALUE!</v>
      </c>
      <c r="E20" s="1678"/>
    </row>
    <row r="21" spans="1:5" ht="15.75" thickBot="1">
      <c r="A21" s="1678"/>
      <c r="B21" s="3045"/>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#VALUE!</v>
      </c>
      <c r="C2" s="2" t="s">
        <v>133</v>
      </c>
      <c r="D2" s="205"/>
      <c r="E2" s="205"/>
      <c r="F2" s="205"/>
      <c r="G2" s="205"/>
    </row>
    <row r="3" spans="1:7" s="206" customFormat="1" ht="18" customHeight="1" thickBot="1">
      <c r="A3" s="209" t="s">
        <v>85</v>
      </c>
      <c r="B3" s="210" t="e">
        <f ca="1">ROUND(B2*10000/'数据-汇总表'!E3,0)</f>
        <v>#VALUE!</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20000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0</v>
      </c>
      <c r="D7" s="226"/>
      <c r="E7" s="224"/>
      <c r="F7" s="227">
        <f>'数据-取费表'!B48+'数据-取费表'!B49</f>
        <v>0</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622.69000000000005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622.69000000000005</v>
      </c>
      <c r="E19" s="217">
        <f>'数据-取费表'!B31</f>
        <v>0</v>
      </c>
      <c r="F19" s="237"/>
      <c r="G19" s="1" t="s">
        <v>1042</v>
      </c>
    </row>
    <row r="20" spans="1:7" s="220" customFormat="1" ht="13.5" customHeight="1">
      <c r="A20" s="885" t="s">
        <v>1025</v>
      </c>
      <c r="B20" s="216" t="s">
        <v>104</v>
      </c>
      <c r="C20" s="238">
        <f>ROUND((C5+C19)*F20,0)</f>
        <v>0</v>
      </c>
      <c r="D20" s="238"/>
      <c r="E20" s="238"/>
      <c r="F20" s="239">
        <f>'数据-取费表'!B37</f>
        <v>0</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64" t="e">
        <f ca="1">ROUND(SUM(C23:C25),0)</f>
        <v>#VALUE!</v>
      </c>
      <c r="D22" s="241" t="e">
        <f ca="1">C26</f>
        <v>#VALUE!</v>
      </c>
      <c r="E22" s="242" t="s">
        <v>126</v>
      </c>
      <c r="F22" s="243" t="e">
        <f ca="1">'数据-取费表'!B40</f>
        <v>#VALUE!</v>
      </c>
      <c r="G22" s="1199" t="str">
        <f>IF('数据-取费表'!B22&lt;=1,"单利计息","复利计息")</f>
        <v>单利计息</v>
      </c>
    </row>
    <row r="23" spans="1:7" s="220" customFormat="1" ht="13.5" customHeight="1">
      <c r="A23" s="888" t="s">
        <v>794</v>
      </c>
      <c r="B23" s="221" t="s">
        <v>1029</v>
      </c>
      <c r="C23" s="1265" t="e">
        <f ca="1">ROUND(IF('数据-取费表'!B22&lt;=1,C5*F22*'数据-取费表'!B23,C5*(POWER((1+F22),'数据-取费表'!B23)-1)),0)</f>
        <v>#VALUE!</v>
      </c>
      <c r="D23" s="244"/>
      <c r="E23" s="244"/>
      <c r="F23" s="245"/>
      <c r="G23" s="246" t="s">
        <v>108</v>
      </c>
    </row>
    <row r="24" spans="1:7" s="220" customFormat="1" ht="13.5" customHeight="1">
      <c r="A24" s="888" t="s">
        <v>792</v>
      </c>
      <c r="B24" s="221" t="s">
        <v>1024</v>
      </c>
      <c r="C24" s="1265" t="e">
        <f ca="1">ROUND(IF('数据-取费表'!B22&lt;=1,C19*F22*('数据-取费表'!B19/2+'数据-取费表'!B21),C19*(POWER((1+F22),('数据-取费表'!B19/2+'数据-取费表'!B21))-1)),0)</f>
        <v>#VALUE!</v>
      </c>
      <c r="D24" s="244"/>
      <c r="E24" s="244"/>
      <c r="F24" s="245"/>
      <c r="G24" s="246" t="s">
        <v>109</v>
      </c>
    </row>
    <row r="25" spans="1:7" s="220" customFormat="1" ht="24">
      <c r="A25" s="888" t="s">
        <v>793</v>
      </c>
      <c r="B25" s="221" t="s">
        <v>1026</v>
      </c>
      <c r="C25" s="1265" t="e">
        <f ca="1">ROUND(IF('数据-取费表'!B22&lt;=1,C20*F22*'数据-取费表'!B23/2,C20*(POWER((1+F22),'数据-取费表'!B23/2)-1)),0)</f>
        <v>#VALUE!</v>
      </c>
      <c r="D25" s="244"/>
      <c r="E25" s="247"/>
      <c r="F25" s="245"/>
      <c r="G25" s="248" t="s">
        <v>110</v>
      </c>
    </row>
    <row r="26" spans="1:7" s="220" customFormat="1">
      <c r="A26" s="888" t="s">
        <v>795</v>
      </c>
      <c r="B26" s="221" t="s">
        <v>1028</v>
      </c>
      <c r="C26" s="244" t="e">
        <f ca="1">ROUND(IF('数据-取费表'!B22&lt;=1,F21*F22*'数据-取费表'!B23/2,F21*(POWER((1+F22),'数据-取费表'!B23/2)-1)),4)</f>
        <v>#VALUE!</v>
      </c>
      <c r="D26" s="244"/>
      <c r="E26" s="247"/>
      <c r="F26" s="245"/>
      <c r="G26" s="249"/>
    </row>
    <row r="27" spans="1:7" s="220" customFormat="1" ht="24.75">
      <c r="A27" s="885" t="s">
        <v>787</v>
      </c>
      <c r="B27" s="250" t="s">
        <v>112</v>
      </c>
      <c r="C27" s="251" t="e">
        <f>C28</f>
        <v>#DIV/0!</v>
      </c>
      <c r="D27" s="241" t="e">
        <f>C29</f>
        <v>#DIV/0!</v>
      </c>
      <c r="E27" s="242" t="s">
        <v>126</v>
      </c>
      <c r="F27" s="252" t="e">
        <f>'数据-取费表'!Q16</f>
        <v>#DIV/0!</v>
      </c>
      <c r="G27" s="253" t="s">
        <v>1037</v>
      </c>
    </row>
    <row r="28" spans="1:7" s="220" customFormat="1" ht="13.5" customHeight="1">
      <c r="A28" s="888" t="s">
        <v>794</v>
      </c>
      <c r="B28" s="254" t="s">
        <v>1030</v>
      </c>
      <c r="C28" s="255" t="e">
        <f>ROUND((C5+C19+C20)*F27*'数据-取费表'!B21/'数据-取费表'!B20,0)</f>
        <v>#DIV/0!</v>
      </c>
      <c r="D28" s="241"/>
      <c r="E28" s="242"/>
      <c r="F28" s="252"/>
      <c r="G28" s="253"/>
    </row>
    <row r="29" spans="1:7" s="220" customFormat="1" ht="13.5" customHeight="1">
      <c r="A29" s="888" t="s">
        <v>792</v>
      </c>
      <c r="B29" s="254" t="s">
        <v>1031</v>
      </c>
      <c r="C29" s="244" t="e">
        <f>ROUND(C21*F27*'数据-取费表'!B21/'数据-取费表'!B20,4)</f>
        <v>#DIV/0!</v>
      </c>
      <c r="D29" s="241"/>
      <c r="E29" s="242"/>
      <c r="F29" s="252"/>
      <c r="G29" s="253"/>
    </row>
    <row r="30" spans="1:7" s="220" customFormat="1" ht="13.5" customHeight="1">
      <c r="A30" s="885" t="s">
        <v>788</v>
      </c>
      <c r="B30" s="216" t="s">
        <v>58</v>
      </c>
      <c r="C30" s="241">
        <f>F30</f>
        <v>0</v>
      </c>
      <c r="D30" s="242" t="s">
        <v>127</v>
      </c>
      <c r="E30" s="247"/>
      <c r="F30" s="243">
        <f>'数据-取费表'!B41</f>
        <v>0</v>
      </c>
      <c r="G30" s="240" t="s">
        <v>113</v>
      </c>
    </row>
    <row r="31" spans="1:7" ht="16.5" customHeight="1">
      <c r="A31" s="215">
        <v>1</v>
      </c>
      <c r="B31" s="216" t="s">
        <v>128</v>
      </c>
      <c r="C31" s="217" t="e">
        <f ca="1">ROUND((C5+C19+C20+C22+C27)/(1-C21-D22-D27-C30/(1+'数据-取费表'!B42)),0)</f>
        <v>#VALUE!</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0</v>
      </c>
      <c r="D37" s="223">
        <f>'数据-汇总表'!E3</f>
        <v>622.69000000000005</v>
      </c>
      <c r="E37" s="255">
        <f>'数据-取费表'!B35</f>
        <v>0</v>
      </c>
      <c r="F37" s="265"/>
      <c r="G37" s="267" t="s">
        <v>119</v>
      </c>
    </row>
    <row r="38" spans="1:7" ht="13.5" customHeight="1">
      <c r="A38" s="888" t="s">
        <v>799</v>
      </c>
      <c r="B38" s="221" t="s">
        <v>63</v>
      </c>
      <c r="C38" s="226">
        <f>ROUND(C34*F38,0)</f>
        <v>0</v>
      </c>
      <c r="D38" s="226"/>
      <c r="E38" s="226"/>
      <c r="F38" s="265">
        <f>'数据-取费表'!B36</f>
        <v>0</v>
      </c>
      <c r="G38" s="225" t="s">
        <v>117</v>
      </c>
    </row>
    <row r="39" spans="1:7" s="220" customFormat="1" ht="13.5" customHeight="1">
      <c r="A39" s="885" t="s">
        <v>783</v>
      </c>
      <c r="B39" s="216" t="s">
        <v>104</v>
      </c>
      <c r="C39" s="238">
        <f>ROUND(C33*F20,0)</f>
        <v>0</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t="e">
        <f ca="1">ROUND(SUM(C42:C43),0)</f>
        <v>#VALUE!</v>
      </c>
      <c r="D41" s="241" t="e">
        <f ca="1">C44</f>
        <v>#VALUE!</v>
      </c>
      <c r="E41" s="242" t="s">
        <v>129</v>
      </c>
      <c r="F41" s="243"/>
      <c r="G41" s="1199" t="str">
        <f>IF('数据-取费表'!B22&lt;=1,"单利计息","复利计息")</f>
        <v>单利计息</v>
      </c>
    </row>
    <row r="42" spans="1:7" ht="13.5" customHeight="1">
      <c r="A42" s="888" t="s">
        <v>794</v>
      </c>
      <c r="B42" s="221" t="s">
        <v>1029</v>
      </c>
      <c r="C42" s="244" t="e">
        <f ca="1">ROUND(IF('数据-取费表'!B22&lt;=1,C33*F22*'数据-取费表'!B21/2,C33*(POWER((1+F22),'数据-取费表'!B21/2)-1)),0)</f>
        <v>#VALUE!</v>
      </c>
      <c r="D42" s="244"/>
      <c r="E42" s="244"/>
      <c r="F42" s="245"/>
      <c r="G42" s="3231" t="s">
        <v>121</v>
      </c>
    </row>
    <row r="43" spans="1:7" ht="13.5" customHeight="1">
      <c r="A43" s="888" t="s">
        <v>792</v>
      </c>
      <c r="B43" s="221" t="s">
        <v>1032</v>
      </c>
      <c r="C43" s="244" t="e">
        <f ca="1">ROUND(IF('数据-取费表'!B22&lt;=1,C39*F22*'数据-取费表'!B21/2,C39*(POWER((1+F22),'数据-取费表'!B21/2)-1)),0)</f>
        <v>#VALUE!</v>
      </c>
      <c r="D43" s="244"/>
      <c r="E43" s="244"/>
      <c r="F43" s="245"/>
      <c r="G43" s="3232"/>
    </row>
    <row r="44" spans="1:7" ht="13.5" customHeight="1">
      <c r="A44" s="888" t="s">
        <v>793</v>
      </c>
      <c r="B44" s="221" t="s">
        <v>1034</v>
      </c>
      <c r="C44" s="244" t="e">
        <f ca="1">ROUND(IF('数据-取费表'!B22&lt;=1,C40*F22*'数据-取费表'!B21/2,C40*(POWER((1+F22),'数据-取费表'!B21/2)-1)),4)</f>
        <v>#VALUE!</v>
      </c>
      <c r="D44" s="244"/>
      <c r="E44" s="244"/>
      <c r="F44" s="245"/>
      <c r="G44" s="3233"/>
    </row>
    <row r="45" spans="1:7" s="220" customFormat="1" ht="13.5" customHeight="1">
      <c r="A45" s="885" t="s">
        <v>786</v>
      </c>
      <c r="B45" s="250" t="s">
        <v>112</v>
      </c>
      <c r="C45" s="251" t="e">
        <f>C46</f>
        <v>#DIV/0!</v>
      </c>
      <c r="D45" s="241" t="e">
        <f>C47</f>
        <v>#DIV/0!</v>
      </c>
      <c r="E45" s="242" t="s">
        <v>129</v>
      </c>
      <c r="F45" s="252"/>
      <c r="G45" s="253" t="s">
        <v>1040</v>
      </c>
    </row>
    <row r="46" spans="1:7" s="220" customFormat="1" ht="13.5" customHeight="1">
      <c r="A46" s="888" t="s">
        <v>794</v>
      </c>
      <c r="B46" s="254" t="s">
        <v>1033</v>
      </c>
      <c r="C46" s="255" t="e">
        <f>ROUND((C33+C39)*F27,0)</f>
        <v>#DIV/0!</v>
      </c>
      <c r="D46" s="269"/>
      <c r="E46" s="242"/>
      <c r="F46" s="252"/>
      <c r="G46" s="253"/>
    </row>
    <row r="47" spans="1:7" s="220" customFormat="1" ht="13.5" customHeight="1">
      <c r="A47" s="888" t="s">
        <v>792</v>
      </c>
      <c r="B47" s="254" t="s">
        <v>1035</v>
      </c>
      <c r="C47" s="244" t="e">
        <f>ROUND(C40*F27,4)</f>
        <v>#DIV/0!</v>
      </c>
      <c r="D47" s="269"/>
      <c r="E47" s="242"/>
      <c r="F47" s="252"/>
      <c r="G47" s="253"/>
    </row>
    <row r="48" spans="1:7" s="220" customFormat="1" ht="13.5" customHeight="1">
      <c r="A48" s="885" t="s">
        <v>787</v>
      </c>
      <c r="B48" s="216" t="s">
        <v>122</v>
      </c>
      <c r="C48" s="268">
        <f>F30</f>
        <v>0</v>
      </c>
      <c r="D48" s="242" t="s">
        <v>130</v>
      </c>
      <c r="E48" s="238"/>
      <c r="F48" s="243"/>
      <c r="G48" s="240" t="s">
        <v>123</v>
      </c>
    </row>
    <row r="49" spans="1:7" ht="16.5" customHeight="1">
      <c r="A49" s="885" t="s">
        <v>788</v>
      </c>
      <c r="B49" s="216" t="s">
        <v>131</v>
      </c>
      <c r="C49" s="238" t="e">
        <f ca="1">ROUND((C33+C39+C41+C45)/(1-C40-D41-D45-C48/(1+'数据-取费表'!B42)),0)</f>
        <v>#VALUE!</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#VALUE!</v>
      </c>
      <c r="D51" s="238"/>
      <c r="E51" s="238"/>
      <c r="F51" s="270"/>
      <c r="G51" s="240" t="s">
        <v>64</v>
      </c>
    </row>
    <row r="52" spans="1:7" s="214" customFormat="1" ht="16.5" thickBot="1">
      <c r="A52" s="271" t="s">
        <v>65</v>
      </c>
      <c r="B52" s="272"/>
      <c r="C52" s="273" t="e">
        <f ca="1">C31+C51</f>
        <v>#VALUE!</v>
      </c>
      <c r="D52" s="272"/>
      <c r="E52" s="272"/>
      <c r="F52" s="272"/>
      <c r="G52" s="274"/>
    </row>
    <row r="55" spans="1:7" ht="15">
      <c r="B55" s="276" t="s">
        <v>66</v>
      </c>
      <c r="C55" s="277"/>
    </row>
    <row r="56" spans="1:7">
      <c r="B56" s="279" t="s">
        <v>67</v>
      </c>
      <c r="C56" s="280" t="e">
        <f ca="1">ROUND(C51/C52,3)</f>
        <v>#VALUE!</v>
      </c>
    </row>
    <row r="57" spans="1:7">
      <c r="B57" s="279" t="s">
        <v>68</v>
      </c>
      <c r="C57" s="281"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77" t="s">
        <v>156</v>
      </c>
      <c r="B1" s="3377"/>
      <c r="C1" s="3377"/>
      <c r="D1" s="3377"/>
      <c r="E1" s="3377"/>
      <c r="F1" s="33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78" t="s">
        <v>169</v>
      </c>
      <c r="B2" s="3378"/>
      <c r="C2" s="3378"/>
      <c r="D2" s="3378"/>
      <c r="E2" s="3378"/>
      <c r="F2" s="33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7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77" t="s">
        <v>839</v>
      </c>
      <c r="B1" s="337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44187</v>
      </c>
      <c r="D1" s="1472" t="s">
        <v>1268</v>
      </c>
      <c r="E1" s="1467">
        <f>'数据-取费表'!B22</f>
        <v>0</v>
      </c>
      <c r="F1" s="1472" t="s">
        <v>1269</v>
      </c>
      <c r="G1" s="1468" t="e">
        <f ca="1">INDIRECT("d"&amp;$K$1)/100</f>
        <v>#VALUE!</v>
      </c>
      <c r="H1" s="1472" t="s">
        <v>1299</v>
      </c>
      <c r="I1" s="1468">
        <f ca="1">F4/100</f>
        <v>1.4999999999999999E-2</v>
      </c>
      <c r="J1" s="1473">
        <f>IF(C1&gt;C13,0,MATCH(C1,C$13:C$100,-1))+IF(SUMIF(C13:C100,C1,D13:D100)=0,13,12)</f>
        <v>13</v>
      </c>
      <c r="K1" s="1473">
        <f ca="1">MATCH(E1,C3:C7,1)+IF(SUMIF(C3:C7,E1,D3:D7)=0,2,1)</f>
        <v>2</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1606</v>
      </c>
      <c r="B2" s="3063" t="s">
        <v>1607</v>
      </c>
      <c r="C2" s="3063" t="s">
        <v>1608</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57"/>
      <c r="B3" s="3057"/>
      <c r="C3" s="3057"/>
      <c r="D3" s="963" t="s">
        <v>1603</v>
      </c>
      <c r="E3" s="963" t="s">
        <v>1609</v>
      </c>
      <c r="F3" s="963" t="s">
        <v>1603</v>
      </c>
      <c r="G3" s="963" t="s">
        <v>1604</v>
      </c>
      <c r="H3" s="963" t="s">
        <v>1603</v>
      </c>
      <c r="I3" s="963" t="s">
        <v>1604</v>
      </c>
    </row>
    <row r="4" spans="1:9" ht="15">
      <c r="A4" s="1692" t="str">
        <f>项目基本情况!S2</f>
        <v>北京市口子村东1号院36、47号楼-1至3层101号工业用房房地产</v>
      </c>
      <c r="B4" s="963">
        <f>项目基本情况!C17</f>
        <v>622.69000000000005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57" t="s">
        <v>1605</v>
      </c>
      <c r="B5" s="3057"/>
      <c r="C5" s="3057"/>
      <c r="D5" s="3058" t="e">
        <f ca="1">结果表!D119</f>
        <v>#REF!</v>
      </c>
      <c r="E5" s="3058"/>
      <c r="F5" s="3058" t="e">
        <f ca="1">结果表!F119</f>
        <v>#REF!</v>
      </c>
      <c r="G5" s="3058"/>
      <c r="H5" s="3058" t="e">
        <f ca="1">结果表!H119</f>
        <v>#REF!</v>
      </c>
      <c r="I5" s="3058"/>
    </row>
    <row r="6" spans="1:9" ht="15.75">
      <c r="A6" s="3056" t="str">
        <f>结果表!A120</f>
        <v>估价师知悉的法定优先受偿款</v>
      </c>
      <c r="B6" s="3056"/>
      <c r="C6" s="3056"/>
      <c r="D6" s="3056">
        <f>结果表!D120</f>
        <v>0</v>
      </c>
      <c r="E6" s="3056"/>
      <c r="F6" s="3056"/>
      <c r="G6" s="3056"/>
      <c r="H6" s="3056"/>
      <c r="I6" s="3056"/>
    </row>
    <row r="7" spans="1:9" ht="15">
      <c r="A7" s="3057" t="s">
        <v>1605</v>
      </c>
      <c r="B7" s="3057"/>
      <c r="C7" s="3057"/>
      <c r="D7" s="3059" t="str">
        <f>结果表!D121</f>
        <v>零元整</v>
      </c>
      <c r="E7" s="3060"/>
      <c r="F7" s="3060"/>
      <c r="G7" s="3060"/>
      <c r="H7" s="3060"/>
      <c r="I7" s="3061"/>
    </row>
    <row r="8" spans="1:9" ht="15.75">
      <c r="A8" s="3056" t="str">
        <f>结果表!A122</f>
        <v>房地产抵押价值</v>
      </c>
      <c r="B8" s="3056"/>
      <c r="C8" s="3056"/>
      <c r="D8" s="3056" t="e">
        <f ca="1">结果表!D122</f>
        <v>#REF!</v>
      </c>
      <c r="E8" s="3056"/>
      <c r="F8" s="3056"/>
      <c r="G8" s="3056"/>
      <c r="H8" s="3056"/>
      <c r="I8" s="3056"/>
    </row>
    <row r="9" spans="1:9" ht="15">
      <c r="A9" s="3057" t="s">
        <v>1605</v>
      </c>
      <c r="B9" s="3057"/>
      <c r="C9" s="3057"/>
      <c r="D9" s="3058" t="e">
        <f ca="1">结果表!D123</f>
        <v>#REF!</v>
      </c>
      <c r="E9" s="3058"/>
      <c r="F9" s="3058"/>
      <c r="G9" s="3058"/>
      <c r="H9" s="3058"/>
      <c r="I9" s="3058"/>
    </row>
    <row r="10" spans="1:9" ht="15.75">
      <c r="A10" s="3056" t="str">
        <f>结果表!A124</f>
        <v/>
      </c>
      <c r="B10" s="3056"/>
      <c r="C10" s="3056"/>
      <c r="D10" s="3056" t="str">
        <f>结果表!D124</f>
        <v>——</v>
      </c>
      <c r="E10" s="3056"/>
      <c r="F10" s="3056"/>
      <c r="G10" s="3056"/>
      <c r="H10" s="3056"/>
      <c r="I10" s="3056"/>
    </row>
    <row r="11" spans="1:9" ht="15">
      <c r="A11" s="3057" t="s">
        <v>1605</v>
      </c>
      <c r="B11" s="3057"/>
      <c r="C11" s="3057"/>
      <c r="D11" s="3058" t="e">
        <f>结果表!D125</f>
        <v>#VALUE!</v>
      </c>
      <c r="E11" s="3058"/>
      <c r="F11" s="3058"/>
      <c r="G11" s="3058"/>
      <c r="H11" s="3058"/>
      <c r="I11" s="3058"/>
    </row>
    <row r="12" spans="1:9" ht="15.75">
      <c r="A12" s="3056" t="str">
        <f>结果表!A126</f>
        <v/>
      </c>
      <c r="B12" s="3056"/>
      <c r="C12" s="3056"/>
      <c r="D12" s="3056" t="str">
        <f>结果表!D126</f>
        <v>——</v>
      </c>
      <c r="E12" s="3056"/>
      <c r="F12" s="3056"/>
      <c r="G12" s="3056"/>
      <c r="H12" s="3056"/>
      <c r="I12" s="3056"/>
    </row>
    <row r="13" spans="1:9" ht="15.75" thickBot="1">
      <c r="A13" s="3053" t="s">
        <v>1605</v>
      </c>
      <c r="B13" s="3053"/>
      <c r="C13" s="3053"/>
      <c r="D13" s="3054" t="e">
        <f>结果表!D127</f>
        <v>#VALUE!</v>
      </c>
      <c r="E13" s="3054"/>
      <c r="F13" s="3054"/>
      <c r="G13" s="3054"/>
      <c r="H13" s="3054"/>
      <c r="I13" s="3054"/>
    </row>
    <row r="14" spans="1:9" ht="15" thickTop="1">
      <c r="A14" s="3055" t="s">
        <v>1610</v>
      </c>
      <c r="B14" s="3055"/>
      <c r="C14" s="3055"/>
      <c r="D14" s="3055"/>
      <c r="E14" s="3055"/>
      <c r="F14" s="3055"/>
      <c r="G14" s="3055"/>
      <c r="H14" s="3055"/>
      <c r="I14" s="305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0" t="s">
        <v>1627</v>
      </c>
      <c r="B1" s="3070"/>
      <c r="C1" s="3070"/>
      <c r="D1" s="3070"/>
    </row>
    <row r="2" spans="1:4" ht="18">
      <c r="A2" s="3071" t="s">
        <v>1611</v>
      </c>
      <c r="B2" s="3071"/>
      <c r="C2" s="3071"/>
      <c r="D2" s="3071"/>
    </row>
    <row r="3" spans="1:4" ht="18.75">
      <c r="A3" s="1696" t="s">
        <v>1612</v>
      </c>
      <c r="B3" s="1696" t="s">
        <v>1613</v>
      </c>
      <c r="C3" s="1696" t="s">
        <v>1614</v>
      </c>
      <c r="D3" s="1696" t="s">
        <v>1615</v>
      </c>
    </row>
    <row r="4" spans="1:4" ht="56.25" customHeight="1">
      <c r="A4" s="1697" t="str">
        <f>项目基本情况!B4</f>
        <v>崔锴</v>
      </c>
      <c r="B4" s="1698">
        <f ca="1">项目基本情况!C4</f>
        <v>1120100036</v>
      </c>
      <c r="C4" s="1699"/>
      <c r="D4" s="1700" t="s">
        <v>1616</v>
      </c>
    </row>
    <row r="5" spans="1:4" ht="56.25" customHeight="1">
      <c r="A5" s="1697" t="str">
        <f>项目基本情况!D4</f>
        <v>郑燚</v>
      </c>
      <c r="B5" s="1698">
        <f ca="1">项目基本情况!E4</f>
        <v>1120070131</v>
      </c>
      <c r="C5" s="1701"/>
      <c r="D5" s="1700" t="s">
        <v>1616</v>
      </c>
    </row>
    <row r="6" spans="1:4" ht="18">
      <c r="A6" s="3071" t="s">
        <v>1617</v>
      </c>
      <c r="B6" s="3071"/>
      <c r="C6" s="3071"/>
      <c r="D6" s="307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2" t="s">
        <v>1620</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4" t="str">
        <f>IF(项目基本情况!B8="抵押","4.本次评估估价师所知悉的法定优先受偿款情况说明如下：","——")</f>
        <v>4.本次评估估价师所知悉的法定优先受偿款情况说明如下：</v>
      </c>
      <c r="B14" s="3069"/>
      <c r="C14" s="3069"/>
      <c r="D14" s="3069"/>
    </row>
    <row r="15" spans="1:4" ht="42" customHeight="1">
      <c r="A15" s="3064" t="str">
        <f>IF(项目基本情况!B8="抵押","（1）"&amp;CONCATENATE(项目基本情况!L20,项目基本情况!L21,项目基本情况!L22),"——")</f>
        <v>（1）根据估价对象《不动产权证书》复印件、，截至价值时点，估价对象抵押权未见登记。</v>
      </c>
      <c r="B15" s="3064"/>
      <c r="C15" s="3064"/>
      <c r="D15" s="3064"/>
    </row>
    <row r="16" spans="1:4" ht="30" customHeight="1">
      <c r="A16" s="3066" t="s">
        <v>1621</v>
      </c>
      <c r="B16" s="3066"/>
      <c r="C16" s="3066"/>
      <c r="D16" s="3066"/>
    </row>
    <row r="17" spans="1:4" ht="144" customHeight="1">
      <c r="A17" s="3066" t="s">
        <v>1622</v>
      </c>
      <c r="B17" s="3066"/>
      <c r="C17" s="3066"/>
      <c r="D17" s="3066"/>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4"/>
      <c r="C20" s="3064"/>
      <c r="D20" s="3064"/>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7"/>
      <c r="C21" s="3067"/>
      <c r="D21" s="3067"/>
    </row>
    <row r="22" spans="1:4" ht="18.75" customHeight="1">
      <c r="A22" s="3068" t="s">
        <v>1623</v>
      </c>
      <c r="B22" s="3068"/>
      <c r="C22" s="3068"/>
      <c r="D22" s="306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65">
        <v>42551</v>
      </c>
      <c r="D31" s="30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78" t="s">
        <v>1634</v>
      </c>
      <c r="B15" s="3073" t="s">
        <v>136</v>
      </c>
      <c r="C15" s="3074"/>
    </row>
    <row r="16" spans="1:7" ht="13.5">
      <c r="A16" s="3079"/>
      <c r="B16" s="3073" t="s">
        <v>69</v>
      </c>
      <c r="C16" s="3074"/>
    </row>
    <row r="17" spans="1:3" ht="13.5">
      <c r="A17" s="3079"/>
      <c r="B17" s="3076" t="s">
        <v>1635</v>
      </c>
      <c r="C17" s="1719" t="s">
        <v>1634</v>
      </c>
    </row>
    <row r="18" spans="1:3" ht="13.5">
      <c r="A18" s="3079"/>
      <c r="B18" s="3076"/>
      <c r="C18" s="1719" t="s">
        <v>1636</v>
      </c>
    </row>
    <row r="19" spans="1:3" ht="13.5">
      <c r="A19" s="3079"/>
      <c r="B19" s="3076"/>
      <c r="C19" s="1719" t="s">
        <v>1637</v>
      </c>
    </row>
    <row r="20" spans="1:3" ht="13.5">
      <c r="A20" s="3080"/>
      <c r="B20" s="3075" t="s">
        <v>1638</v>
      </c>
      <c r="C20" s="3074"/>
    </row>
    <row r="21" spans="1:3" ht="13.5">
      <c r="A21" s="1720" t="s">
        <v>1639</v>
      </c>
      <c r="B21" s="1721"/>
      <c r="C21" s="1722"/>
    </row>
    <row r="22" spans="1:3" ht="13.5">
      <c r="A22" s="3077" t="s">
        <v>1640</v>
      </c>
      <c r="B22" s="3075" t="s">
        <v>1641</v>
      </c>
      <c r="C22" s="3074"/>
    </row>
    <row r="23" spans="1:3" ht="13.5">
      <c r="A23" s="3077"/>
      <c r="B23" s="3075" t="s">
        <v>1642</v>
      </c>
      <c r="C23" s="3074"/>
    </row>
    <row r="24" spans="1:3" ht="13.5">
      <c r="A24" s="3077"/>
      <c r="B24" s="3075" t="s">
        <v>1643</v>
      </c>
      <c r="C24" s="3074"/>
    </row>
    <row r="25" spans="1:3" ht="13.5">
      <c r="A25" s="3077"/>
      <c r="B25" s="3076" t="s">
        <v>1644</v>
      </c>
      <c r="C25" s="1719" t="s">
        <v>1645</v>
      </c>
    </row>
    <row r="26" spans="1:3" ht="13.5">
      <c r="A26" s="3077"/>
      <c r="B26" s="3076"/>
      <c r="C26" s="1719" t="s">
        <v>1646</v>
      </c>
    </row>
    <row r="27" spans="1:3" ht="13.5">
      <c r="A27" s="3077"/>
      <c r="B27" s="3076"/>
      <c r="C27" s="1719" t="s">
        <v>1647</v>
      </c>
    </row>
    <row r="28" spans="1:3" ht="13.5">
      <c r="A28" s="3077"/>
      <c r="B28" s="3076"/>
      <c r="C28" s="1719" t="s">
        <v>1648</v>
      </c>
    </row>
    <row r="29" spans="1:3" ht="13.5">
      <c r="A29" s="3077"/>
      <c r="B29" s="3076"/>
      <c r="C29" s="1719" t="s">
        <v>1649</v>
      </c>
    </row>
    <row r="30" spans="1:3" ht="13.5">
      <c r="A30" s="3077"/>
      <c r="B30" s="3076"/>
      <c r="C30" s="1719" t="s">
        <v>1650</v>
      </c>
    </row>
    <row r="31" spans="1:3" ht="13.5">
      <c r="A31" s="3077"/>
      <c r="B31" s="3076"/>
      <c r="C31" s="1719" t="s">
        <v>1651</v>
      </c>
    </row>
    <row r="32" spans="1:3" ht="13.5">
      <c r="A32" s="3077"/>
      <c r="B32" s="3076"/>
      <c r="C32" s="1719" t="s">
        <v>1652</v>
      </c>
    </row>
    <row r="33" spans="1:3" ht="13.5">
      <c r="A33" s="3077"/>
      <c r="B33" s="3076"/>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44187</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1" t="s">
        <v>2903</v>
      </c>
      <c r="B17" s="3081"/>
      <c r="C17" s="3081"/>
      <c r="D17" s="3081"/>
      <c r="E17" s="3081"/>
      <c r="F17" s="3081"/>
      <c r="G17" s="3081"/>
      <c r="H17" s="3081"/>
    </row>
    <row r="18" spans="1:8" ht="24" customHeight="1">
      <c r="A18" s="3082" t="s">
        <v>2904</v>
      </c>
      <c r="B18" s="3082"/>
      <c r="C18" s="3082"/>
      <c r="D18" s="2568"/>
      <c r="E18" s="3083" t="s">
        <v>2905</v>
      </c>
      <c r="F18" s="3082"/>
      <c r="G18" s="3082"/>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2020-12-22T03:13:26Z</dcterms:modified>
</cp:coreProperties>
</file>