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1310" windowHeight="11445" tabRatio="894" firstSheet="14"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商办车库-新" sheetId="85" r:id="rId31"/>
    <sheet name="结果表办" sheetId="89" r:id="rId32"/>
    <sheet name="比较法-办公" sheetId="34" r:id="rId33"/>
    <sheet name="收益法 (办)" sheetId="87" r:id="rId34"/>
    <sheet name="典型户型修正办" sheetId="88" r:id="rId35"/>
    <sheet name="结果表车" sheetId="83"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state="hidden" r:id="rId50"/>
    <sheet name="收益法 (元)" sheetId="67" state="hidden" r:id="rId51"/>
    <sheet name="商办车库-旧" sheetId="94" state="hidden" r:id="rId52"/>
    <sheet name="新的车位" sheetId="93" state="hidden" r:id="rId53"/>
    <sheet name="典型户型修正车" sheetId="86" state="hidden" r:id="rId54"/>
  </sheets>
  <externalReferences>
    <externalReference r:id="rId55"/>
    <externalReference r:id="rId56"/>
    <externalReference r:id="rId57"/>
    <externalReference r:id="rId58"/>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31">结果表办!$A$1:$I$127</definedName>
    <definedName name="_xlnm.Print_Area" localSheetId="35">结果表车!$A$1:$I$127</definedName>
    <definedName name="_xlnm.Print_Area" localSheetId="24">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1">'[1]比较法-办公'!$B$119:$M$119</definedName>
    <definedName name="办公层高">'比较法-办公'!$B$119:$M$119</definedName>
    <definedName name="办公朝向" localSheetId="51">'[1]比较法-办公'!$B$91:$M$91</definedName>
    <definedName name="办公朝向">'比较法-办公'!$B$91:$M$91</definedName>
    <definedName name="办公道路级别" localSheetId="51">'[1]比较法-办公'!$B$87:$M$87</definedName>
    <definedName name="办公道路级别">'比较法-办公'!$B$87:$M$87</definedName>
    <definedName name="办公公共部分装修" localSheetId="51">'[1]比较法-办公'!$B$108:$M$108</definedName>
    <definedName name="办公公共部分装修">'比较法-办公'!$B$108:$M$108</definedName>
    <definedName name="办公基础设施水平" localSheetId="51">'[1]比较法-办公'!$B$117:$M$117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'[1]比较法-办公'!$B$106:$M$106</definedName>
    <definedName name="办公建筑结构">'比较法-办公'!$B$106:$M$106</definedName>
    <definedName name="办公建筑类型" localSheetId="51">'[1]比较法-办公'!$B$101:$M$101</definedName>
    <definedName name="办公建筑类型">'比较法-办公'!$B$101:$M$101</definedName>
    <definedName name="办公交易情况" localSheetId="51">'[1]比较法-办公'!$A$62:$M$62</definedName>
    <definedName name="办公交易情况">'比较法-办公'!$A$62:$M$62</definedName>
    <definedName name="办公楼层" localSheetId="51">'[1]比较法-办公'!$B$89:$M$89</definedName>
    <definedName name="办公楼层">'比较法-办公'!$B$89:$M$89</definedName>
    <definedName name="办公内部装修" localSheetId="51">'[1]比较法-办公'!$B$123:$M$123</definedName>
    <definedName name="办公内部装修">'比较法-办公'!$B$123:$M$123</definedName>
    <definedName name="办公物业管理" localSheetId="51">'[1]比较法-办公'!$B$115:$M$115</definedName>
    <definedName name="办公物业管理">'比较法-办公'!$B$115:$M$115</definedName>
    <definedName name="办公用途" localSheetId="51">'[1]比较法-办公'!$B$64:$M$64</definedName>
    <definedName name="办公用途">'比较法-办公'!$B$64:$M$64</definedName>
    <definedName name="仓储公共部分装修" localSheetId="51">'[1]比较法-仓储'!$B$77:$M$77</definedName>
    <definedName name="仓储公共部分装修">'比较法-仓储'!$B$77:$M$77</definedName>
    <definedName name="仓储交易情况" localSheetId="51">'[1]比较法-仓储'!$A$49:$M$49</definedName>
    <definedName name="仓储交易情况">'比较法-仓储'!$A$49:$M$49</definedName>
    <definedName name="仓储楼层" localSheetId="51">'[1]比较法-仓储'!$B$69:$M$69</definedName>
    <definedName name="仓储楼层">'比较法-仓储'!$B$69:$M$69</definedName>
    <definedName name="仓储物业等级" localSheetId="51">'[1]比较法-仓储'!$B$82:$M$82</definedName>
    <definedName name="仓储物业等级">'比较法-仓储'!$B$82:$M$82</definedName>
    <definedName name="仓储用途" localSheetId="51">'[1]比较法-仓储'!$B$51:$M$51</definedName>
    <definedName name="仓储用途">'比较法-仓储'!$B$51:$M$51</definedName>
    <definedName name="产业集聚程度" localSheetId="51">[1]定义!$N$1:$N$6</definedName>
    <definedName name="产业集聚程度">定义!$N$1:$N$6</definedName>
    <definedName name="车位公共部分装修" localSheetId="51">'[1]比较法-车位'!$B$83:$M$83</definedName>
    <definedName name="车位公共部分装修">'比较法-车位'!$B$83:$M$83</definedName>
    <definedName name="车位交易情况" localSheetId="51">'[1]比较法-车位'!$A$51:$M$51</definedName>
    <definedName name="车位交易情况">'比较法-车位'!$A$51:$M$51</definedName>
    <definedName name="车位类型" localSheetId="51">'[1]比较法-车位'!$B$93:$M$93</definedName>
    <definedName name="车位类型">'比较法-车位'!$B$93:$M$93</definedName>
    <definedName name="车位楼层" localSheetId="51">'[1]比较法-车位'!$B$71:$M$71</definedName>
    <definedName name="车位楼层">'比较法-车位'!$B$71:$M$71</definedName>
    <definedName name="车位配套类型" localSheetId="51">'[1]比较法-车位'!$B$79:$M$79</definedName>
    <definedName name="车位配套类型">'比较法-车位'!$B$79:$M$79</definedName>
    <definedName name="车位物业等级" localSheetId="51">'[1]比较法-车位'!$B$88:$M$88</definedName>
    <definedName name="车位物业等级">'比较法-车位'!$B$88:$M$88</definedName>
    <definedName name="车位用途" localSheetId="51">'[1]比较法-车位'!$B$53:$M$53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区片价!$J$1:$J$21</definedName>
    <definedName name="二级分类" localSheetId="51">[1]修正!$C$19:$C$51</definedName>
    <definedName name="二级分类">修正!$C$19:$C$51</definedName>
    <definedName name="法定最高年限" localSheetId="51">[1]定义!$G$1:$G$6</definedName>
    <definedName name="法定最高年限">定义!$G$1:$G$6</definedName>
    <definedName name="工业公共部分装修" localSheetId="51">'[1]比较法-工业'!$B$95:$M$95</definedName>
    <definedName name="工业公共部分装修">'比较法-工业'!$B$95:$M$95</definedName>
    <definedName name="工业基础设施水平" localSheetId="51">'[1]比较法-工业'!$B$102:$M$102</definedName>
    <definedName name="工业基础设施水平">'比较法-工业'!$B$102:$M$102</definedName>
    <definedName name="工业建筑结构" localSheetId="51">'[1]比较法-工业'!$B$93:$M$93</definedName>
    <definedName name="工业建筑结构">'比较法-工业'!$B$93:$M$93</definedName>
    <definedName name="工业建筑类型" localSheetId="51">'[1]比较法-工业'!$B$88:$M$88</definedName>
    <definedName name="工业建筑类型">'比较法-工业'!$B$88:$M$88</definedName>
    <definedName name="工业交易情况" localSheetId="51">'[1]比较法-工业'!$A$55:$M$55</definedName>
    <definedName name="工业交易情况">'比较法-工业'!$A$55:$M$55</definedName>
    <definedName name="工业内部装修" localSheetId="51">'[1]比较法-工业'!$B$104:$M$104</definedName>
    <definedName name="工业内部装修">'比较法-工业'!$B$104:$M$104</definedName>
    <definedName name="工业物业管理" localSheetId="51">'[1]比较法-工业'!$B$100:$M$100</definedName>
    <definedName name="工业物业管理">'比较法-工业'!$B$100:$M$100</definedName>
    <definedName name="工业用途" localSheetId="51">'[1]比较法-工业'!$B$57:$M$57</definedName>
    <definedName name="工业用途">'比较法-工业'!$B$57:$M$57</definedName>
    <definedName name="公共配套设施" localSheetId="51">[1]定义!$Q$1:$Q$6</definedName>
    <definedName name="公共配套设施">定义!$Q$1:$Q$6</definedName>
    <definedName name="估价范围判定" localSheetId="51">[1]定义!$D$1:$D$4</definedName>
    <definedName name="估价范围判定">定义!$D$1:$D$4</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区片价!$Q$1:$Q$51</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区片价!$N$1:$N$64</definedName>
    <definedName name="内部装修维护情况" localSheetId="51">[1]定义!$U$1:$U$6</definedName>
    <definedName name="内部装修维护情况">定义!$U$1:$U$6</definedName>
    <definedName name="七级">区片价!$O$1:$O$45</definedName>
    <definedName name="七通一平" localSheetId="51">[1]修正!$A$8:$A$16</definedName>
    <definedName name="七通一平">修正!$A$8:$A$16</definedName>
    <definedName name="区域土地利用方向" localSheetId="51">[1]定义!$P$1:$P$6</definedName>
    <definedName name="区域土地利用方向">定义!$P$1:$P$6</definedName>
    <definedName name="三级">区片价!$K$1:$K$26</definedName>
    <definedName name="商业层高" localSheetId="51">'[1]比较法-商业'!$B$116:$M$116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'[1]比较法-商业'!$B$107:$M$107</definedName>
    <definedName name="商业公共部分装修">'比较法-商业'!$B$107:$M$107</definedName>
    <definedName name="商业基础设施水平" localSheetId="51">'[1]比较法-商业'!$B$112:$M$112</definedName>
    <definedName name="商业基础设施水平">'比较法-商业'!$B$112:$M$112</definedName>
    <definedName name="商业建筑结构" localSheetId="51">'[1]比较法-商业'!$B$105:$M$105</definedName>
    <definedName name="商业建筑结构">'比较法-商业'!$B$105:$M$105</definedName>
    <definedName name="商业交易情况" localSheetId="51">'[1]比较法-商业'!$A$61:$M$61</definedName>
    <definedName name="商业交易情况">'比较法-商业'!$A$61:$M$61</definedName>
    <definedName name="商业街名称" localSheetId="51">[1]修正!$C$71:$C$138</definedName>
    <definedName name="商业街名称">修正!$C$71:$C$138</definedName>
    <definedName name="商业进深比" localSheetId="51">'[1]比较法-商业'!$B$120:$M$120</definedName>
    <definedName name="商业进深比">'比较法-商业'!$B$120:$M$120</definedName>
    <definedName name="商业类型" localSheetId="51">'[1]比较法-商业'!$B$100:$M$100</definedName>
    <definedName name="商业类型">'比较法-商业'!$B$100:$M$100</definedName>
    <definedName name="商业临街状况" localSheetId="51">'[1]比较法-商业'!$B$86:$M$86</definedName>
    <definedName name="商业临街状况">'比较法-商业'!$B$86:$M$86</definedName>
    <definedName name="商业楼层" localSheetId="51">'[1]比较法-商业'!$B$92:$M$92</definedName>
    <definedName name="商业楼层">'比较法-商业'!$B$92:$M$92</definedName>
    <definedName name="商业内部装修" localSheetId="51">'[1]比较法-商业'!$B$122:$M$122</definedName>
    <definedName name="商业内部装修">'比较法-商业'!$B$122:$M$122</definedName>
    <definedName name="商业人流量" localSheetId="51">'[1]比较法-商业'!$B$90:$M$90</definedName>
    <definedName name="商业人流量">'比较法-商业'!$B$90:$M$90</definedName>
    <definedName name="商业业态" localSheetId="51">'[1]比较法-商业'!$B$114:$M$114</definedName>
    <definedName name="商业业态">'比较法-商业'!$B$114:$M$114</definedName>
    <definedName name="商业用途" localSheetId="5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'比较法-仓储'!$B$89:$M$89</definedName>
    <definedName name="是否直接入户" localSheetId="51">'[1]比较法-车位'!$B$95:$M$95</definedName>
    <definedName name="是否直接入户">'比较法-车位'!$B$95:$M$95</definedName>
    <definedName name="四级">区片价!$L$1:$L$33</definedName>
    <definedName name="套工道路等级" localSheetId="51">'[1]土地比较法-工业'!$B$97:$M$97</definedName>
    <definedName name="套工道路等级">'土地比较法-工业'!$B$97:$M$97</definedName>
    <definedName name="套工地质条件" localSheetId="51">'[1]土地比较法-工业'!$B$114:$M$114</definedName>
    <definedName name="套工地质条件">'土地比较法-工业'!$B$114:$M$114</definedName>
    <definedName name="套工交易情况" localSheetId="51">'[1]土地比较法-住宅、综合'!$A$72:$M$72</definedName>
    <definedName name="套工交易情况">'土地比较法-住宅、综合'!$A$72:$M$72</definedName>
    <definedName name="套工土地级别" localSheetId="51">'[1]土地比较法-工业'!$B$99:$M$99</definedName>
    <definedName name="套工土地级别">'土地比较法-工业'!$B$99:$M$99</definedName>
    <definedName name="套工用途" localSheetId="51">'[1]土地比较法-工业'!$B$70:$M$70</definedName>
    <definedName name="套工用途">'土地比较法-工业'!$B$70:$M$70</definedName>
    <definedName name="套工宗地开发程度" localSheetId="51">'[1]土地比较法-工业'!$B$112:$M$112</definedName>
    <definedName name="套工宗地开发程度">'土地比较法-工业'!$B$112:$M$112</definedName>
    <definedName name="套工宗地形状" localSheetId="51">'[1]土地比较法-工业'!$B$110:$M$110</definedName>
    <definedName name="套工宗地形状">'土地比较法-工业'!$B$110:$M$110</definedName>
    <definedName name="套综道路等级" localSheetId="51">'[1]土地比较法-住宅、综合'!$B$105:$M$105</definedName>
    <definedName name="套综道路等级">'土地比较法-住宅、综合'!$B$105:$M$105</definedName>
    <definedName name="套综工程地质条件" localSheetId="51">'[1]土地比较法-住宅、综合'!$B$124:$M$124</definedName>
    <definedName name="套综工程地质条件">'土地比较法-住宅、综合'!$B$124:$M$124</definedName>
    <definedName name="套综交易情况" localSheetId="51">'[1]土地比较法-住宅、综合'!$A$72:$M$72</definedName>
    <definedName name="套综交易情况">'土地比较法-住宅、综合'!$A$72:$M$72</definedName>
    <definedName name="套综临街宽度及深度" localSheetId="51">'[1]土地比较法-住宅、综合'!$B$120:$M$120</definedName>
    <definedName name="套综临街宽度及深度">'土地比较法-住宅、综合'!$B$120:$M$120</definedName>
    <definedName name="套综土地级别" localSheetId="51">'[1]土地比较法-住宅、综合'!$B$107:$M$107</definedName>
    <definedName name="套综土地级别">'土地比较法-住宅、综合'!$B$107:$M$107</definedName>
    <definedName name="套综用途" localSheetId="51">'[1]土地比较法-住宅、综合'!$B$74:$M$74</definedName>
    <definedName name="套综用途">'土地比较法-住宅、综合'!$B$74:$M$74</definedName>
    <definedName name="套综宗地内开发程度" localSheetId="51">'[1]土地比较法-住宅、综合'!$B$122:$M$122</definedName>
    <definedName name="套综宗地内开发程度">'土地比较法-住宅、综合'!$B$122:$M$122</definedName>
    <definedName name="套综宗地形状" localSheetId="51">'[1]土地比较法-住宅、综合'!$B$118:$M$118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定义!$I$1:$I$16</definedName>
    <definedName name="位置" localSheetId="51">[1]定义!$E$2:$E$4</definedName>
    <definedName name="位置">定义!$E$2:$E$4</definedName>
    <definedName name="五等判定" localSheetId="51">[1]定义!$W$1:$W$6</definedName>
    <definedName name="五等判定">定义!$W$1:$W$6</definedName>
    <definedName name="五级">区片价!$M$1:$M$41</definedName>
    <definedName name="项目类型" localSheetId="51">'[1]数据-汇总表'!$C$17:$C$26</definedName>
    <definedName name="项目类型" localSheetId="25">'[2]数据-汇总表'!$C$17:$C$26</definedName>
    <definedName name="项目类型">'数据-汇总表'!$C$17:$C$26</definedName>
    <definedName name="写字楼等级" localSheetId="51">'[1]比较法-办公'!$B$113:$M$113</definedName>
    <definedName name="写字楼等级">'比较法-办公'!$B$113:$M$113</definedName>
    <definedName name="一级">区片价!$I$1:$I$6</definedName>
    <definedName name="一修多修正项2" localSheetId="34">典型户型修正办!$5:$5</definedName>
    <definedName name="一修多修正项2" localSheetId="53">典型户型修正车!$5:$5</definedName>
    <definedName name="一修多修正项2" localSheetId="51">[1]典型户型修正!$5:$5</definedName>
    <definedName name="一修多修正项2">典型户型修正!$5:$5</definedName>
    <definedName name="一修多修正项3" localSheetId="34">典型户型修正办!$7:$7</definedName>
    <definedName name="一修多修正项3" localSheetId="53">典型户型修正车!$7:$7</definedName>
    <definedName name="一修多修正项3" localSheetId="51">[1]典型户型修正!$7:$7</definedName>
    <definedName name="一修多修正项3">典型户型修正!$7:$7</definedName>
    <definedName name="一修多修正项4" localSheetId="34">典型户型修正办!$9:$9</definedName>
    <definedName name="一修多修正项4" localSheetId="53">典型户型修正车!$9:$9</definedName>
    <definedName name="一修多修正项4" localSheetId="51">[1]典型户型修正!$9:$9</definedName>
    <definedName name="一修多修正项4">典型户型修正!$9:$9</definedName>
    <definedName name="一修多修正项5" localSheetId="34">典型户型修正办!$11:$11</definedName>
    <definedName name="一修多修正项5" localSheetId="53">典型户型修正车!$11:$11</definedName>
    <definedName name="一修多修正项5" localSheetId="51">[1]典型户型修正!$11:$11</definedName>
    <definedName name="一修多修正项5">典型户型修正!$11:$11</definedName>
    <definedName name="一修多修正项6" localSheetId="34">典型户型修正办!$13:$13</definedName>
    <definedName name="一修多修正项6" localSheetId="53">典型户型修正车!$13:$13</definedName>
    <definedName name="一修多修正项6" localSheetId="51">[1]典型户型修正!$13:$13</definedName>
    <definedName name="一修多修正项6">典型户型修正!$13:$13</definedName>
    <definedName name="一修多修正项7" localSheetId="34">典型户型修正办!$15:$15</definedName>
    <definedName name="一修多修正项7" localSheetId="53">典型户型修正车!$15:$15</definedName>
    <definedName name="一修多修正项7" localSheetId="51">[1]典型户型修正!$15:$15</definedName>
    <definedName name="一修多修正项7">典型户型修正!$15:$15</definedName>
    <definedName name="一修多修正项8" localSheetId="34">典型户型修正办!$17:$17</definedName>
    <definedName name="一修多修正项8" localSheetId="53">典型户型修正车!$17:$17</definedName>
    <definedName name="一修多修正项8" localSheetId="51">[1]典型户型修正!$17:$17</definedName>
    <definedName name="一修多修正项8">典型户型修正!$17:$17</definedName>
    <definedName name="用途明细" localSheetId="51">[1]定义!$A$1:$A$50</definedName>
    <definedName name="用途明细">定义!$A$1:$A$50</definedName>
    <definedName name="有无电梯" localSheetId="51">'[1]比较法-仓储'!$B$84:$M$84</definedName>
    <definedName name="有无电梯">'比较法-仓储'!$B$84:$M$84</definedName>
    <definedName name="主用途" localSheetId="51">[1]定义!$F$1:$F$12</definedName>
    <definedName name="主用途">定义!$F$1:$F$12</definedName>
    <definedName name="住宅朝向" localSheetId="51">'[1]比较法-住宅'!$B$88:$M$88</definedName>
    <definedName name="住宅朝向">'比较法-住宅'!$B$88:$M$88</definedName>
    <definedName name="住宅房型" localSheetId="51">'[1]比较法-住宅'!$B$118:$M$118</definedName>
    <definedName name="住宅房型">'比较法-住宅'!$B$118:$M$118</definedName>
    <definedName name="住宅公共部分装修" localSheetId="51">'[1]比较法-住宅'!$B$109:$M$109</definedName>
    <definedName name="住宅公共部分装修">'比较法-住宅'!$B$109:$M$109</definedName>
    <definedName name="住宅基础设施水平" localSheetId="51">'[1]比较法-住宅'!$B$116:$M$116</definedName>
    <definedName name="住宅基础设施水平">'比较法-住宅'!$B$116:$M$116</definedName>
    <definedName name="住宅建筑结构" localSheetId="51">'[1]比较法-住宅'!$B$105:$M$105</definedName>
    <definedName name="住宅建筑结构">'比较法-住宅'!$B$105:$M$105</definedName>
    <definedName name="住宅建筑类型" localSheetId="51">'[1]比较法-住宅'!$B$100:$M$100</definedName>
    <definedName name="住宅建筑类型">'比较法-住宅'!$B$100:$M$100</definedName>
    <definedName name="住宅建筑品质" localSheetId="51">'[1]比较法-住宅'!$B$107:$M$107</definedName>
    <definedName name="住宅建筑品质">'比较法-住宅'!$B$107:$M$107</definedName>
    <definedName name="住宅交易情况" localSheetId="51">'[1]比较法-住宅'!$A$61:$M$61</definedName>
    <definedName name="住宅交易情况">'比较法-住宅'!$A$61:$M$61</definedName>
    <definedName name="住宅楼层" localSheetId="51">'[1]比较法-住宅'!$B$86:$M$86</definedName>
    <definedName name="住宅楼层">'比较法-住宅'!$B$86:$M$86</definedName>
    <definedName name="住宅内部装修" localSheetId="51">'[1]比较法-住宅'!$B$122:$M$122</definedName>
    <definedName name="住宅内部装修">'比较法-住宅'!$B$122:$M$122</definedName>
    <definedName name="住宅物业管理" localSheetId="51">'[1]比较法-住宅'!$B$114:$M$114</definedName>
    <definedName name="住宅物业管理">'比较法-住宅'!$B$114:$M$114</definedName>
    <definedName name="住宅用途" localSheetId="51">'[1]比较法-住宅'!$B$63:$M$63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105" i="34" l="1"/>
  <c r="G105" i="34" s="1"/>
  <c r="E105" i="34"/>
  <c r="C105" i="34"/>
  <c r="D3" i="88"/>
  <c r="E3" i="88"/>
  <c r="F3" i="88"/>
  <c r="G3" i="88"/>
  <c r="H3" i="88"/>
  <c r="I3" i="88"/>
  <c r="D4" i="88"/>
  <c r="E4" i="88"/>
  <c r="C4" i="88"/>
  <c r="C3" i="88"/>
  <c r="F35" i="92"/>
  <c r="F35" i="87"/>
  <c r="H105" i="34" l="1"/>
  <c r="I105" i="34" s="1"/>
  <c r="G4" i="88"/>
  <c r="I4" i="88"/>
  <c r="H4" i="88"/>
  <c r="F4" i="88"/>
  <c r="K14" i="3"/>
  <c r="I13" i="3"/>
  <c r="C33" i="33"/>
  <c r="V7" i="1" l="1"/>
  <c r="N20" i="1"/>
  <c r="AM7" i="1"/>
  <c r="AM8" i="1"/>
  <c r="AM6" i="1"/>
  <c r="AK8" i="1"/>
  <c r="AK7" i="1"/>
  <c r="AL8" i="1" l="1"/>
  <c r="AL7" i="1"/>
  <c r="P22" i="85"/>
  <c r="K23" i="34"/>
  <c r="U24" i="31"/>
  <c r="B24" i="31"/>
  <c r="B24" i="88"/>
  <c r="A24" i="88"/>
  <c r="U24" i="88"/>
  <c r="C34" i="34"/>
  <c r="H727" i="85"/>
  <c r="H726" i="85" l="1"/>
  <c r="G182" i="93"/>
  <c r="G183" i="93"/>
  <c r="G612" i="93"/>
  <c r="G613" i="93"/>
  <c r="F35" i="67"/>
  <c r="C31" i="35" l="1"/>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725" i="85" l="1"/>
  <c r="F297" i="85"/>
  <c r="F277" i="85"/>
  <c r="Q19" i="85" s="1"/>
  <c r="F266" i="85"/>
  <c r="Q18" i="85" s="1"/>
  <c r="F231" i="85"/>
  <c r="Q17" i="85" s="1"/>
  <c r="F217" i="85"/>
  <c r="F37" i="85"/>
  <c r="F13" i="85"/>
  <c r="Q15" i="85" s="1"/>
  <c r="F8" i="85"/>
  <c r="F727" i="85" l="1"/>
  <c r="Q16" i="85"/>
  <c r="Q22" i="85" s="1"/>
  <c r="F726" i="85"/>
  <c r="Q21" i="85" l="1"/>
  <c r="U83" i="88"/>
  <c r="U58" i="88"/>
  <c r="U49" i="88"/>
  <c r="U29" i="88"/>
  <c r="U32" i="31"/>
  <c r="U27"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A24" i="31"/>
  <c r="E104" i="33"/>
  <c r="F104" i="33" s="1"/>
  <c r="G104" i="33" s="1"/>
  <c r="H104" i="33" s="1"/>
  <c r="I104" i="33" s="1"/>
  <c r="D104" i="33"/>
  <c r="E89" i="33"/>
  <c r="F89" i="33" s="1"/>
  <c r="G89" i="33" s="1"/>
  <c r="D89" i="33"/>
  <c r="L7" i="1" l="1"/>
  <c r="Q72" i="92" l="1"/>
  <c r="Q59" i="92"/>
  <c r="K59" i="92"/>
  <c r="P74" i="92" s="1"/>
  <c r="F59" i="92"/>
  <c r="Q58" i="92"/>
  <c r="Q51" i="92"/>
  <c r="J50" i="92"/>
  <c r="J49" i="92"/>
  <c r="M47" i="92"/>
  <c r="D46" i="92"/>
  <c r="F34" i="92"/>
  <c r="F62" i="92" s="1"/>
  <c r="F33" i="92"/>
  <c r="F61" i="92" s="1"/>
  <c r="F32" i="92"/>
  <c r="F60" i="92" s="1"/>
  <c r="F31" i="92"/>
  <c r="F28" i="92"/>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C18" i="88"/>
  <c r="C76" i="92"/>
  <c r="Q71" i="92" l="1"/>
  <c r="D24" i="92"/>
  <c r="P61" i="92"/>
  <c r="D22" i="92"/>
  <c r="M28" i="92"/>
  <c r="F36" i="92"/>
  <c r="F37" i="92"/>
  <c r="J15" i="92"/>
  <c r="F6" i="92"/>
  <c r="M26" i="92"/>
  <c r="F26" i="92"/>
  <c r="F42" i="92"/>
  <c r="M9" i="92"/>
  <c r="M23" i="92"/>
  <c r="M6" i="92"/>
  <c r="M24" i="92"/>
  <c r="M22" i="92"/>
  <c r="F38" i="92"/>
  <c r="F40" i="92"/>
  <c r="F16" i="92"/>
  <c r="M8" i="92"/>
  <c r="F8" i="92"/>
  <c r="F9" i="92"/>
  <c r="L47" i="92"/>
  <c r="F68" i="92" l="1"/>
  <c r="F51" i="92"/>
  <c r="F66" i="92"/>
  <c r="F64"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M47" i="87"/>
  <c r="D46" i="87"/>
  <c r="F34" i="87"/>
  <c r="F62" i="87" s="1"/>
  <c r="F33" i="87"/>
  <c r="F61" i="87" s="1"/>
  <c r="F32" i="87"/>
  <c r="F60" i="87" s="1"/>
  <c r="F31" i="87"/>
  <c r="F28" i="87"/>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C18" i="89"/>
  <c r="D18" i="89" s="1"/>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M6" i="87"/>
  <c r="F26" i="87"/>
  <c r="M8" i="87"/>
  <c r="M9" i="87"/>
  <c r="F42" i="87"/>
  <c r="M24" i="87"/>
  <c r="F37" i="87"/>
  <c r="M23" i="87"/>
  <c r="L47" i="87"/>
  <c r="F9" i="87"/>
  <c r="M28" i="87"/>
  <c r="F38" i="87"/>
  <c r="F6" i="87"/>
  <c r="J15" i="87"/>
  <c r="F40" i="87"/>
  <c r="M27" i="87"/>
  <c r="F16" i="87"/>
  <c r="M22" i="87"/>
  <c r="F36" i="87"/>
  <c r="F8" i="87"/>
  <c r="M26" i="87"/>
  <c r="D124" i="89" l="1"/>
  <c r="D125" i="89" s="1"/>
  <c r="H110" i="89"/>
  <c r="F68" i="87"/>
  <c r="F51" i="87"/>
  <c r="F66" i="87"/>
  <c r="F64" i="87"/>
  <c r="F65" i="87"/>
  <c r="C27"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G21" i="6"/>
  <c r="F20" i="6"/>
  <c r="F19" i="6"/>
  <c r="G725" i="85"/>
  <c r="G297" i="85"/>
  <c r="G277" i="85"/>
  <c r="G266" i="85"/>
  <c r="G231" i="85"/>
  <c r="G217" i="85"/>
  <c r="G37" i="85"/>
  <c r="G13" i="85"/>
  <c r="G8" i="85"/>
  <c r="G727" i="85" l="1"/>
  <c r="G726" i="85"/>
  <c r="P21" i="85"/>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92" i="83"/>
  <c r="C94" i="83"/>
  <c r="H109" i="83"/>
  <c r="D104" i="21"/>
  <c r="E104" i="21" s="1"/>
  <c r="F104" i="21" s="1"/>
  <c r="G104" i="21" s="1"/>
  <c r="C30" i="36"/>
  <c r="C33" i="21"/>
  <c r="G20" i="6" l="1"/>
  <c r="D124" i="83"/>
  <c r="D125" i="83" s="1"/>
  <c r="H110" i="83"/>
  <c r="B29" i="1" l="1"/>
  <c r="D3" i="4" l="1"/>
  <c r="N6" i="1"/>
  <c r="C37" i="34" l="1"/>
  <c r="Y6" i="1"/>
  <c r="N7" i="1"/>
  <c r="Y7" i="1" s="1"/>
  <c r="E92" i="37"/>
  <c r="F92" i="37" s="1"/>
  <c r="D92" i="37"/>
  <c r="F13" i="87"/>
  <c r="F13" i="92"/>
  <c r="C33" i="37" l="1"/>
  <c r="E33" i="37" s="1"/>
  <c r="G33" i="37" s="1"/>
  <c r="I33" i="37" s="1"/>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S427" i="31" s="1"/>
  <c r="R428" i="31"/>
  <c r="R429" i="3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6" i="31"/>
  <c r="S439" i="31"/>
  <c r="S465" i="31"/>
  <c r="S461" i="31"/>
  <c r="S457" i="31"/>
  <c r="S453" i="31"/>
  <c r="S104" i="31"/>
  <c r="S447"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7" i="31"/>
  <c r="S521"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F8" i="15"/>
  <c r="F37" i="67"/>
  <c r="F43" i="67"/>
  <c r="D5" i="73"/>
  <c r="F7" i="73"/>
  <c r="M9" i="15"/>
  <c r="D6" i="73"/>
  <c r="M24" i="15"/>
  <c r="AO13" i="1"/>
  <c r="F38" i="15"/>
  <c r="F16" i="15"/>
  <c r="D3" i="73"/>
  <c r="L48" i="92"/>
  <c r="F26" i="15"/>
  <c r="L48" i="15"/>
  <c r="F16" i="67"/>
  <c r="F43" i="87"/>
  <c r="E9" i="76"/>
  <c r="M29" i="92"/>
  <c r="D4" i="73"/>
  <c r="B13" i="76"/>
  <c r="L48" i="87"/>
  <c r="F9" i="67"/>
  <c r="M23" i="67"/>
  <c r="F4" i="73"/>
  <c r="F20" i="31"/>
  <c r="F8" i="67"/>
  <c r="J15" i="67"/>
  <c r="B12" i="76"/>
  <c r="D7" i="73"/>
  <c r="E2" i="69"/>
  <c r="E2" i="68"/>
  <c r="M29" i="67"/>
  <c r="F7" i="92"/>
  <c r="B7" i="76"/>
  <c r="F43" i="15"/>
  <c r="F40" i="67"/>
  <c r="F6" i="67"/>
  <c r="F38" i="67"/>
  <c r="F5" i="73"/>
  <c r="C76" i="15"/>
  <c r="M22" i="15"/>
  <c r="B10" i="76"/>
  <c r="L47" i="67"/>
  <c r="F7" i="87"/>
  <c r="M29" i="15"/>
  <c r="M6" i="15"/>
  <c r="M23" i="15"/>
  <c r="F13" i="15"/>
  <c r="F6" i="73"/>
  <c r="F42" i="67"/>
  <c r="F7" i="15"/>
  <c r="M26" i="67"/>
  <c r="M8" i="15"/>
  <c r="L47" i="15"/>
  <c r="F26" i="67"/>
  <c r="F6" i="15"/>
  <c r="F3" i="73"/>
  <c r="M29" i="87"/>
  <c r="E8" i="76"/>
  <c r="M28" i="67"/>
  <c r="M6" i="67"/>
  <c r="F13" i="67"/>
  <c r="E12" i="76"/>
  <c r="F7" i="67"/>
  <c r="E10" i="76"/>
  <c r="F36" i="67"/>
  <c r="M28" i="15"/>
  <c r="E7" i="76"/>
  <c r="M24" i="67"/>
  <c r="J15" i="15"/>
  <c r="F43" i="92"/>
  <c r="E11" i="76"/>
  <c r="F9" i="15"/>
  <c r="F36" i="15"/>
  <c r="B9" i="76"/>
  <c r="C76" i="67"/>
  <c r="E13" i="76"/>
  <c r="M9" i="67"/>
  <c r="F42" i="15"/>
  <c r="M22" i="67"/>
  <c r="B11" i="76"/>
  <c r="F37" i="15"/>
  <c r="F40" i="15"/>
  <c r="B8" i="76"/>
  <c r="M26" i="15"/>
  <c r="C40" i="69" l="1"/>
  <c r="B14" i="74"/>
  <c r="U22" i="31"/>
  <c r="L58" i="92"/>
  <c r="L58" i="87"/>
  <c r="G6" i="1"/>
  <c r="C24" i="12"/>
  <c r="C28" i="92"/>
  <c r="C28" i="87"/>
  <c r="C77" i="89"/>
  <c r="C74" i="89" s="1"/>
  <c r="C77" i="83"/>
  <c r="C74" i="83" s="1"/>
  <c r="G7" i="1"/>
  <c r="F8" i="1"/>
  <c r="J51" i="92"/>
  <c r="L57" i="92" s="1"/>
  <c r="M47" i="89"/>
  <c r="J51" i="87"/>
  <c r="L60" i="87" s="1"/>
  <c r="M47" i="83"/>
  <c r="F85" i="33"/>
  <c r="G85" i="33" s="1"/>
  <c r="F23" i="33"/>
  <c r="AA23" i="33" s="1"/>
  <c r="H23" i="33"/>
  <c r="AB23" i="33"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AA35" i="33"/>
  <c r="U33" i="33"/>
  <c r="U32" i="33"/>
  <c r="AC28" i="33"/>
  <c r="W25" i="33"/>
  <c r="AA25" i="33"/>
  <c r="U23" i="33"/>
  <c r="AA21" i="33"/>
  <c r="W21"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J17" i="15" s="1"/>
  <c r="F50" i="15"/>
  <c r="F51" i="15"/>
  <c r="F71" i="15"/>
  <c r="C6" i="15"/>
  <c r="C31" i="15" s="1"/>
  <c r="F66" i="67"/>
  <c r="L59" i="15"/>
  <c r="N59" i="15"/>
  <c r="L58" i="15"/>
  <c r="M59" i="15"/>
  <c r="F66" i="15"/>
  <c r="Q71" i="67"/>
  <c r="F64" i="15"/>
  <c r="C27" i="67"/>
  <c r="F71" i="67"/>
  <c r="C27" i="15"/>
  <c r="F65" i="15"/>
  <c r="N59" i="67"/>
  <c r="L59" i="67"/>
  <c r="M59" i="67"/>
  <c r="B13" i="70"/>
  <c r="M7" i="67"/>
  <c r="J6" i="67" s="1"/>
  <c r="F50" i="67"/>
  <c r="F68" i="67"/>
  <c r="F64" i="67"/>
  <c r="F68" i="15"/>
  <c r="D9" i="68"/>
  <c r="F27" i="69"/>
  <c r="G1" i="73"/>
  <c r="C16" i="87"/>
  <c r="D9" i="69"/>
  <c r="C16" i="92"/>
  <c r="L48" i="67"/>
  <c r="C16" i="15"/>
  <c r="C36" i="69"/>
  <c r="C16" i="67"/>
  <c r="S27" i="33" l="1"/>
  <c r="S23" i="33"/>
  <c r="S42" i="33"/>
  <c r="W27" i="33"/>
  <c r="J57" i="67"/>
  <c r="J55" i="67" s="1"/>
  <c r="J58" i="67" s="1"/>
  <c r="Q50" i="67" s="1"/>
  <c r="I54" i="67"/>
  <c r="L58" i="67"/>
  <c r="Q73" i="67" s="1"/>
  <c r="L56" i="67"/>
  <c r="J53" i="67"/>
  <c r="F1" i="67" s="1"/>
  <c r="Q66" i="87"/>
  <c r="Q57" i="87"/>
  <c r="G8" i="1"/>
  <c r="G16" i="1" s="1"/>
  <c r="F10" i="39" s="1"/>
  <c r="L60" i="92"/>
  <c r="H7" i="36"/>
  <c r="N59" i="87"/>
  <c r="J53" i="87"/>
  <c r="J57" i="87"/>
  <c r="J55" i="87" s="1"/>
  <c r="J58" i="87" s="1"/>
  <c r="Q50" i="87" s="1"/>
  <c r="M59" i="87"/>
  <c r="L59" i="87"/>
  <c r="I54" i="87"/>
  <c r="L57" i="87"/>
  <c r="L56" i="92"/>
  <c r="Q60" i="87"/>
  <c r="Q73" i="87"/>
  <c r="I54" i="92"/>
  <c r="M59" i="92"/>
  <c r="N59" i="92"/>
  <c r="J53" i="92"/>
  <c r="L59" i="92"/>
  <c r="J57" i="92"/>
  <c r="J55" i="92" s="1"/>
  <c r="J58" i="92" s="1"/>
  <c r="Q50" i="92" s="1"/>
  <c r="L56" i="87"/>
  <c r="Q73" i="92"/>
  <c r="Q60" i="92"/>
  <c r="W16" i="35"/>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M11" i="67"/>
  <c r="J10" i="67" s="1"/>
  <c r="J5" i="67" s="1"/>
  <c r="F11" i="15"/>
  <c r="M11" i="15"/>
  <c r="J10" i="15" s="1"/>
  <c r="J5" i="15" s="1"/>
  <c r="F11" i="67"/>
  <c r="F1" i="15"/>
  <c r="Q52" i="15"/>
  <c r="J18" i="67"/>
  <c r="C32" i="15"/>
  <c r="Q52" i="67"/>
  <c r="Q60" i="15"/>
  <c r="Q73" i="15"/>
  <c r="Q61" i="67"/>
  <c r="Q74" i="67"/>
  <c r="Q74" i="15"/>
  <c r="Q61" i="15"/>
  <c r="AE11" i="1"/>
  <c r="AE9" i="1"/>
  <c r="F27" i="68"/>
  <c r="AE12" i="1"/>
  <c r="AE10" i="1"/>
  <c r="AE8" i="1"/>
  <c r="F1" i="92" l="1"/>
  <c r="Q52" i="92"/>
  <c r="Q52" i="87"/>
  <c r="F1" i="87"/>
  <c r="Q61" i="87"/>
  <c r="Q74" i="87"/>
  <c r="Q74" i="92"/>
  <c r="Q61" i="92"/>
  <c r="Q66" i="92"/>
  <c r="Q57" i="92"/>
  <c r="H6" i="3"/>
  <c r="W36" i="33"/>
  <c r="AC36" i="33"/>
  <c r="AA36" i="33"/>
  <c r="S36" i="33"/>
  <c r="T49" i="34"/>
  <c r="G49" i="34" s="1"/>
  <c r="G53" i="34" s="1"/>
  <c r="H53" i="34" s="1"/>
  <c r="AB27" i="34"/>
  <c r="U27" i="34"/>
  <c r="AA27" i="34"/>
  <c r="S27" i="34"/>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AE6" i="1"/>
  <c r="AE7" i="1"/>
  <c r="F41" i="87" s="1"/>
  <c r="M27" i="92"/>
  <c r="F41" i="92" l="1"/>
  <c r="F69" i="92" s="1"/>
  <c r="E6" i="6"/>
  <c r="D6" i="6" s="1"/>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4" i="92"/>
  <c r="C17" i="15"/>
  <c r="C17" i="92"/>
  <c r="C17" i="87"/>
  <c r="D10" i="69"/>
  <c r="C14" i="67"/>
  <c r="C34" i="69"/>
  <c r="C14" i="87"/>
  <c r="C49" i="34" l="1"/>
  <c r="C18" i="92"/>
  <c r="C15" i="92"/>
  <c r="D30" i="6"/>
  <c r="H24" i="6"/>
  <c r="M19" i="89"/>
  <c r="C118" i="89" s="1"/>
  <c r="S20" i="6"/>
  <c r="L18" i="89"/>
  <c r="C18" i="87"/>
  <c r="C15" i="87"/>
  <c r="E7" i="70"/>
  <c r="C25" i="11"/>
  <c r="C22" i="11" s="1"/>
  <c r="C31" i="11" s="1"/>
  <c r="H22" i="6"/>
  <c r="H21" i="6"/>
  <c r="H25" i="6"/>
  <c r="M19" i="9"/>
  <c r="C118" i="9" s="1"/>
  <c r="B2" i="74" s="1"/>
  <c r="D7"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M21" i="87"/>
  <c r="E6" i="76"/>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15"/>
  <c r="F35" i="15"/>
  <c r="M21" i="67"/>
  <c r="M21" i="92"/>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L51" i="87"/>
  <c r="D2" i="21"/>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L51" i="92"/>
  <c r="D2" i="33"/>
  <c r="Q67" i="92" l="1"/>
  <c r="D2" i="92"/>
  <c r="B2" i="92" s="1"/>
  <c r="C45" i="92"/>
  <c r="C46" i="92" s="1"/>
  <c r="C43" i="92"/>
  <c r="Q56" i="92"/>
  <c r="Q62" i="92" s="1"/>
  <c r="C83" i="92"/>
  <c r="C82" i="92" s="1"/>
  <c r="Q47" i="92"/>
  <c r="Q53" i="92" s="1"/>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B3" i="92" l="1"/>
  <c r="B3" i="87"/>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9" i="1"/>
  <c r="AO7" i="1"/>
  <c r="AO10" i="1"/>
  <c r="AO12" i="1"/>
  <c r="D20" i="89"/>
  <c r="C19" i="89"/>
  <c r="AO11" i="1"/>
  <c r="D19" i="89"/>
  <c r="D19" i="83"/>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83"/>
  <c r="D19" i="9"/>
  <c r="AO6" i="1"/>
  <c r="C20" i="89"/>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I280" i="85" s="1"/>
  <c r="R29" i="88"/>
  <c r="S29" i="88" s="1"/>
  <c r="R27" i="88"/>
  <c r="S27" i="88" s="1"/>
  <c r="R30" i="88"/>
  <c r="S30" i="88" s="1"/>
  <c r="C35" i="89"/>
  <c r="F61" i="39"/>
  <c r="F56" i="39"/>
  <c r="C6" i="68" s="1"/>
  <c r="C6" i="69"/>
  <c r="D103" i="9"/>
  <c r="C42" i="40"/>
  <c r="C43" i="40"/>
  <c r="E47" i="40"/>
  <c r="F47" i="40" s="1"/>
  <c r="E46" i="40"/>
  <c r="F46" i="40" s="1"/>
  <c r="I47" i="40"/>
  <c r="J47" i="40" s="1"/>
  <c r="D35" i="89"/>
  <c r="F65" i="39" l="1"/>
  <c r="B2" i="39" s="1"/>
  <c r="B3" i="39" s="1"/>
  <c r="I14" i="85"/>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20" i="83"/>
  <c r="C19"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AO8" i="1"/>
  <c r="B3" i="69"/>
  <c r="C19" i="9"/>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S22" i="86" s="1"/>
  <c r="P57" i="89"/>
  <c r="N58" i="89"/>
  <c r="N59" i="89"/>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I219" i="85" s="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E118" i="83"/>
  <c r="D118" i="83" s="1"/>
  <c r="D119" i="83" s="1"/>
  <c r="C105" i="83"/>
  <c r="H102" i="83"/>
  <c r="C105" i="9"/>
  <c r="H102" i="9"/>
  <c r="D7" i="53" s="1"/>
  <c r="B21" i="72" s="1"/>
  <c r="I4" i="52"/>
  <c r="D34" i="9"/>
  <c r="D14" i="74" l="1"/>
  <c r="V22" i="31"/>
  <c r="I217" i="85"/>
  <c r="I231" i="85"/>
  <c r="R17" i="85" s="1"/>
  <c r="D5" i="53"/>
  <c r="D6" i="53" s="1"/>
  <c r="B22" i="72" s="1"/>
  <c r="I8" i="85"/>
  <c r="I37" i="85"/>
  <c r="R16" i="85" s="1"/>
  <c r="I297" i="85"/>
  <c r="I277" i="85"/>
  <c r="R19" i="85" s="1"/>
  <c r="I725" i="85"/>
  <c r="I266" i="85"/>
  <c r="R18" i="85" s="1"/>
  <c r="I13" i="85"/>
  <c r="R15" i="85" s="1"/>
  <c r="H107" i="9"/>
  <c r="H108" i="9" s="1"/>
  <c r="D15" i="53" s="1"/>
  <c r="B31" i="72" s="1"/>
  <c r="D45" i="83"/>
  <c r="C78" i="83" s="1"/>
  <c r="C73" i="83" s="1"/>
  <c r="D45" i="9"/>
  <c r="C93" i="9" s="1"/>
  <c r="C86" i="9" s="1"/>
  <c r="M48" i="83"/>
  <c r="F14" i="74"/>
  <c r="R22" i="31"/>
  <c r="B20" i="31"/>
  <c r="B21" i="31" s="1"/>
  <c r="D122" i="83"/>
  <c r="D123" i="83" s="1"/>
  <c r="H108" i="83"/>
  <c r="M49" i="83"/>
  <c r="G14" i="74"/>
  <c r="B20" i="72" l="1"/>
  <c r="R20" i="85"/>
  <c r="R22" i="85" s="1"/>
  <c r="I727" i="85"/>
  <c r="I729" i="85" s="1"/>
  <c r="I726" i="85"/>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D14" i="53" l="1"/>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F18" i="74" l="1"/>
  <c r="E18" i="74"/>
  <c r="R21" i="85" l="1"/>
  <c r="E19" i="74"/>
  <c r="B5" i="74"/>
  <c r="F19" i="74"/>
  <c r="B6"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<sst xmlns="http://schemas.openxmlformats.org/spreadsheetml/2006/main" count="14659" uniqueCount="4438">
  <si>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</si>
  <si>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</si>
  <si>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</si>
  <si>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</si>
  <si>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</si>
  <si>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</si>
  <si>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</si>
  <si>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</si>
  <si>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</si>
  <si>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</si>
  <si>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</si>
  <si>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</si>
  <si>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</si>
  <si>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</si>
  <si>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</si>
  <si>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</si>
  <si>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</si>
  <si>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</si>
  <si>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</si>
  <si>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</si>
  <si>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</si>
  <si>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</si>
  <si>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</si>
  <si>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</si>
  <si>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</si>
  <si>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</si>
  <si>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</si>
  <si>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</si>
  <si>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</si>
  <si>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</si>
  <si>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</si>
  <si>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</si>
  <si>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</si>
  <si>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</si>
  <si>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</si>
  <si>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</si>
  <si>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</si>
  <si>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</si>
  <si>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</si>
  <si>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</si>
  <si>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</si>
  <si>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</si>
  <si>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</si>
  <si>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</si>
  <si>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</si>
  <si>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</si>
  <si>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</si>
  <si>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</si>
  <si>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</si>
  <si>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</si>
  <si>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</si>
  <si>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</si>
  <si>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</si>
  <si>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</si>
  <si>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</si>
  <si>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</si>
  <si>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</si>
  <si>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</si>
  <si>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</si>
  <si>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</si>
  <si>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</si>
  <si>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</si>
  <si>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</si>
  <si>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</si>
  <si>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</si>
  <si>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</si>
  <si>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</si>
  <si>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</si>
  <si>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</si>
  <si>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</si>
  <si>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</si>
  <si>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</si>
  <si>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</si>
  <si>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</si>
  <si>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</si>
  <si>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</si>
  <si>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</si>
  <si>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</si>
  <si>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</si>
  <si>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</si>
  <si>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</si>
  <si>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</si>
  <si>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</si>
  <si>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</si>
  <si>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</si>
  <si>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</si>
  <si>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</si>
  <si>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</si>
  <si>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</si>
  <si>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</si>
  <si>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</si>
  <si>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</si>
  <si>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</si>
  <si>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</si>
  <si>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</si>
  <si>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</si>
  <si>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</si>
  <si>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</si>
  <si>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</si>
  <si>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</si>
  <si>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</si>
  <si>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</si>
  <si>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</si>
  <si>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</si>
  <si>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</si>
  <si>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</si>
  <si>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</si>
  <si>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</si>
  <si>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</si>
  <si>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</si>
  <si>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</si>
  <si>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</si>
  <si>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</si>
  <si>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</si>
  <si>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</si>
  <si>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</si>
  <si>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</si>
  <si>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</si>
  <si>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</si>
  <si>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</si>
  <si>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</si>
  <si>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</si>
  <si>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</si>
  <si>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</si>
  <si>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</si>
  <si>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</si>
  <si>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</si>
  <si>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</si>
  <si>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</si>
  <si>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</si>
  <si>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</si>
  <si>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</si>
  <si>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</si>
  <si>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</si>
  <si>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</si>
  <si>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</si>
  <si>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</si>
  <si>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</si>
  <si>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</si>
  <si>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</si>
  <si>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</si>
  <si>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</si>
  <si>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</si>
  <si>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</si>
  <si>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</si>
  <si>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</si>
  <si>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</si>
  <si>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</si>
  <si>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</si>
  <si>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</si>
  <si>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</si>
  <si>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</si>
  <si>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</si>
  <si>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</si>
  <si>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</si>
  <si>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</si>
  <si>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</si>
  <si>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</si>
  <si>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</si>
  <si>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</si>
  <si>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</si>
  <si>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</si>
  <si>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</si>
  <si>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</si>
  <si>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</si>
  <si>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</si>
  <si>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</si>
  <si>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</si>
  <si>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</si>
  <si>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</si>
  <si>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</si>
  <si>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</si>
  <si>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</si>
  <si>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</si>
  <si>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</si>
  <si>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</si>
  <si>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</si>
  <si>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</si>
  <si>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</si>
  <si>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</si>
  <si>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</si>
  <si>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</si>
  <si>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</si>
  <si>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</si>
  <si>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</si>
  <si>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</si>
  <si>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</si>
  <si>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</si>
  <si>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</si>
  <si>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</si>
  <si>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</si>
  <si>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</si>
  <si>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</si>
  <si>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</si>
  <si>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</si>
  <si>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</si>
  <si>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</si>
  <si>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</si>
  <si>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</si>
  <si>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</si>
  <si>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</si>
  <si>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</si>
  <si>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</si>
  <si>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</si>
  <si>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</si>
  <si>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</si>
  <si>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</si>
  <si>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</si>
  <si>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</si>
  <si>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</si>
  <si>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</si>
  <si>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</si>
  <si>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</si>
  <si>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</si>
  <si>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</si>
  <si>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</si>
  <si>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</si>
  <si>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</si>
  <si>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</si>
  <si>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</si>
  <si>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</si>
  <si>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</si>
  <si>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</si>
  <si>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</si>
  <si>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</si>
  <si>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</si>
  <si>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</si>
  <si>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</si>
  <si>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</si>
  <si>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</si>
  <si>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</si>
  <si>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</si>
  <si>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</si>
  <si>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</si>
  <si>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</si>
  <si>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</si>
  <si>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</si>
  <si>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</si>
  <si>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</si>
  <si>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</si>
  <si>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</si>
  <si>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</si>
  <si>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</si>
  <si>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</si>
  <si>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</si>
  <si>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</si>
  <si>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</si>
  <si>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</si>
  <si>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</si>
  <si>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</si>
  <si>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</si>
  <si>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</si>
  <si>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</si>
  <si>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</si>
  <si>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</si>
  <si>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</si>
  <si>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</si>
  <si>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</si>
  <si>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</si>
  <si>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</si>
  <si>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</si>
  <si>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</si>
  <si>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</si>
  <si>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</si>
  <si>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</si>
  <si>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</si>
  <si>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</si>
  <si>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</si>
  <si>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</si>
  <si>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</si>
  <si>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</si>
  <si>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</si>
  <si>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</si>
  <si>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</si>
  <si>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</si>
  <si>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</si>
  <si>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</si>
  <si>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</si>
  <si>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</si>
  <si>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</si>
  <si>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</si>
  <si>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</si>
  <si>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</si>
  <si>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</si>
  <si>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</si>
  <si>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</si>
  <si>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</si>
  <si>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</si>
  <si>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</si>
  <si>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</si>
  <si>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</si>
  <si>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</si>
  <si>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</si>
  <si>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</si>
  <si>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</si>
  <si>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</si>
  <si>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</si>
  <si>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</si>
  <si>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</si>
  <si>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</si>
  <si>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</si>
  <si>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</si>
  <si>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</si>
  <si>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</si>
  <si>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</si>
  <si>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</si>
  <si>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</si>
  <si>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</si>
  <si>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</si>
  <si>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</si>
  <si>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</si>
  <si>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</si>
  <si>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</si>
  <si>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</si>
  <si>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</si>
  <si>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</si>
  <si>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</si>
  <si>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</si>
  <si>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</si>
  <si>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</si>
  <si>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</si>
  <si>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</si>
  <si>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</si>
  <si>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</si>
  <si>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</si>
  <si>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</si>
  <si>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</si>
  <si>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</si>
  <si>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</si>
  <si>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</si>
  <si>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</si>
  <si>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</si>
  <si>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</si>
  <si>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</si>
  <si>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</si>
  <si>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</si>
  <si>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</si>
  <si>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</si>
  <si>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</si>
  <si>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</si>
  <si>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</si>
  <si>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</si>
  <si>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</si>
  <si>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</si>
  <si>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</si>
  <si>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</si>
  <si>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</si>
  <si>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</si>
  <si>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</si>
  <si>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</si>
  <si>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</si>
  <si>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</si>
  <si>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</si>
  <si>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</si>
  <si>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</si>
  <si>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</si>
  <si>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</si>
  <si>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</si>
  <si>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</si>
  <si>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</si>
  <si>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</si>
  <si>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</si>
  <si>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</si>
  <si>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</si>
  <si>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</si>
  <si>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</si>
  <si>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</si>
  <si>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</si>
  <si>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</si>
  <si>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</si>
  <si>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</si>
  <si>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</si>
  <si>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</si>
  <si>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</si>
  <si>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</si>
  <si>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</si>
  <si>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</si>
  <si>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</si>
  <si>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</si>
  <si>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</si>
  <si>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</si>
  <si>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</si>
  <si>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</si>
  <si>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</si>
  <si>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</si>
  <si>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</si>
  <si>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</si>
  <si>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</si>
  <si>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</si>
  <si>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</si>
  <si>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</si>
  <si>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</si>
  <si>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</si>
  <si>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</si>
  <si>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</si>
  <si>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</si>
  <si>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</si>
  <si>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</si>
  <si>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</si>
  <si>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</si>
  <si>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</si>
  <si>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</si>
  <si>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</si>
  <si>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</si>
  <si>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</si>
  <si>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</si>
  <si>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</si>
  <si>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</si>
  <si>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</si>
  <si>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</si>
  <si>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</si>
  <si>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</si>
  <si>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</si>
  <si>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</si>
  <si>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</si>
  <si>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</si>
  <si>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</si>
  <si>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</si>
  <si>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</si>
  <si>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</si>
  <si>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</si>
  <si>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</si>
  <si>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</si>
  <si>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</si>
  <si>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</si>
  <si>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</si>
  <si>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</si>
  <si>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</si>
  <si>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</si>
  <si>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</si>
  <si>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</si>
  <si>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</si>
  <si>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</si>
  <si>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</si>
  <si>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</si>
  <si>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</si>
  <si>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</si>
  <si>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</si>
  <si>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</si>
  <si>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</si>
  <si>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</si>
  <si>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</si>
  <si>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</si>
  <si>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</si>
  <si>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</si>
  <si>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</si>
  <si>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</si>
  <si>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</si>
  <si>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</si>
  <si>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</si>
  <si>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</si>
  <si>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</si>
  <si>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</si>
  <si>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</si>
  <si>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</si>
  <si>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</si>
  <si>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</si>
  <si>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</si>
  <si>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</si>
  <si>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</si>
  <si>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</si>
  <si>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</si>
  <si>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</si>
  <si>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</si>
  <si>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</si>
  <si>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</si>
  <si>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</si>
  <si>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</si>
  <si>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</si>
  <si>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</si>
  <si>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</si>
  <si>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</si>
  <si>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</si>
  <si>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</si>
  <si>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</si>
  <si>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</si>
  <si>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</si>
  <si>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</si>
  <si>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</si>
  <si>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</si>
  <si>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</si>
  <si>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</si>
  <si>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</si>
  <si>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</si>
  <si>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</si>
  <si>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</si>
  <si>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</si>
  <si>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</si>
  <si>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</si>
  <si>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</si>
  <si>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</si>
  <si>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</si>
  <si>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</si>
  <si>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</si>
  <si>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</si>
  <si>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</si>
  <si>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</si>
  <si>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</si>
  <si>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</si>
  <si>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</si>
  <si>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</si>
  <si>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</si>
  <si>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</si>
  <si>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</si>
  <si>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</si>
  <si>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</si>
  <si>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</si>
  <si>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</si>
  <si>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</si>
  <si>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</si>
  <si>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</si>
  <si>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</si>
  <si>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</si>
  <si>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</si>
  <si>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</si>
  <si>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</si>
  <si>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</si>
  <si>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</si>
  <si>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</si>
  <si>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</si>
  <si>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</si>
  <si>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</si>
  <si>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</si>
  <si>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</si>
  <si>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</si>
  <si>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</si>
  <si>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</si>
  <si>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</si>
  <si>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</si>
  <si>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</si>
  <si>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</si>
  <si>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</si>
  <si>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</si>
  <si>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</si>
  <si>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</si>
  <si>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</si>
  <si>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</si>
  <si>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</si>
  <si>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</si>
  <si>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</si>
  <si>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</si>
  <si>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</si>
  <si>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</si>
  <si>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</si>
  <si>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</si>
  <si>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</si>
  <si>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</si>
  <si>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</si>
  <si>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</si>
  <si>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</si>
  <si>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</si>
  <si>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</si>
  <si>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</si>
  <si>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</si>
  <si>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</si>
  <si>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</si>
  <si>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</si>
  <si>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</si>
  <si>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</si>
  <si>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</si>
  <si>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</si>
  <si>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</si>
  <si>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</si>
  <si>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</si>
  <si>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</si>
  <si>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</si>
  <si>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</si>
  <si>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</si>
  <si>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</si>
  <si>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</si>
  <si>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</si>
  <si>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</si>
  <si>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</si>
  <si>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</si>
  <si>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</si>
  <si>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</si>
  <si>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</si>
  <si>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</si>
  <si>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</si>
  <si>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</si>
  <si>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</si>
  <si>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</si>
  <si>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</si>
  <si>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</si>
  <si>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</si>
  <si>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</si>
  <si>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</si>
  <si>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</si>
  <si>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</si>
  <si>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</si>
  <si>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</si>
  <si>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</si>
  <si>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</si>
  <si>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</si>
  <si>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</si>
  <si>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</si>
  <si>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</si>
  <si>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</si>
  <si>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</si>
  <si>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</si>
  <si>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</si>
  <si>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</si>
  <si>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</si>
  <si>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</si>
  <si>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</si>
  <si>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</si>
  <si>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</si>
  <si>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</si>
  <si>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</si>
  <si>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</si>
  <si>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</si>
  <si>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</si>
  <si>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</si>
  <si>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</si>
  <si>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</si>
  <si>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</si>
  <si>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</si>
  <si>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</si>
  <si>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</si>
  <si>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</si>
  <si>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</si>
  <si>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</si>
  <si>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</si>
  <si>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</si>
  <si>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</si>
  <si>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</si>
  <si>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</si>
  <si>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</si>
  <si>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</si>
  <si>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</si>
  <si>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</si>
  <si>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</si>
  <si>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</si>
  <si>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</si>
  <si>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</si>
  <si>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</si>
  <si>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</si>
  <si>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</si>
  <si>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</si>
  <si>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</si>
  <si>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</si>
  <si>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</si>
  <si>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</si>
  <si>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</si>
  <si>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</si>
  <si>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</si>
  <si>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</si>
  <si>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</si>
  <si>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</si>
  <si>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</si>
  <si>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</si>
  <si>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</si>
  <si>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</si>
  <si>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</si>
  <si>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</si>
  <si>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</si>
  <si>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</si>
  <si>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</si>
  <si>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</si>
  <si>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</si>
  <si>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</si>
  <si>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</si>
  <si>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</si>
  <si>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</si>
  <si>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</si>
  <si>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</si>
  <si>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</si>
  <si>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</si>
  <si>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</si>
  <si>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</si>
  <si>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</si>
  <si>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</si>
  <si>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</si>
  <si>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</si>
  <si>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</si>
  <si>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</si>
  <si>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</si>
  <si>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</si>
  <si>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</si>
  <si>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</si>
  <si>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</si>
  <si>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</si>
  <si>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</si>
  <si>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</si>
  <si>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</si>
  <si>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</si>
  <si>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</si>
  <si>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</si>
  <si>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</si>
  <si>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</si>
  <si>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</si>
  <si>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</si>
  <si>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</si>
  <si>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</si>
  <si>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</si>
  <si>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</si>
  <si>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</si>
  <si>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</si>
  <si>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</si>
  <si>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</si>
  <si>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</si>
  <si>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</si>
  <si>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</si>
  <si>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</si>
  <si>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</si>
  <si>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</si>
  <si>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</si>
  <si>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</si>
  <si>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</si>
  <si>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</si>
  <si>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</si>
  <si>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</si>
  <si>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</si>
  <si>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</si>
  <si>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</si>
  <si>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</si>
  <si>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</si>
  <si>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</si>
  <si>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</si>
  <si>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</si>
  <si>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</si>
  <si>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</si>
  <si>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</si>
  <si>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</si>
  <si>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</si>
  <si>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</si>
  <si>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</si>
  <si>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</si>
  <si>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</si>
  <si>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</si>
  <si>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</si>
  <si>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</si>
  <si>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</si>
  <si>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</si>
  <si>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</si>
  <si>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</si>
  <si>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</si>
  <si>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</si>
  <si>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</si>
  <si>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</si>
  <si>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</si>
  <si>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</si>
  <si>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</si>
  <si>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</si>
  <si>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</si>
  <si>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</si>
  <si>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</si>
  <si>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</si>
  <si>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</si>
  <si>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</si>
  <si>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</si>
  <si>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</si>
  <si>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</si>
  <si>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</si>
  <si>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</si>
  <si>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</si>
  <si>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</si>
  <si>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</si>
  <si>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</si>
  <si>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</si>
  <si>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</si>
  <si>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</si>
  <si>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</si>
  <si>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</si>
  <si>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</si>
  <si>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</si>
  <si>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</si>
  <si>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</si>
  <si>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</si>
  <si>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</si>
  <si>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</si>
  <si>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</si>
  <si>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</si>
  <si>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</si>
  <si>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</si>
  <si>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</si>
  <si>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</si>
  <si>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</si>
  <si>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</si>
  <si>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</si>
  <si>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</si>
  <si>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</si>
  <si>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</si>
  <si>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</si>
  <si>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</si>
  <si>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</si>
  <si>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</si>
  <si>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</si>
  <si>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</si>
  <si>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</si>
  <si>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</si>
  <si>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</si>
  <si>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</si>
  <si>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</si>
  <si>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</si>
  <si>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</si>
  <si>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</si>
  <si>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</si>
  <si>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</si>
  <si>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</si>
  <si>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</si>
  <si>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</si>
  <si>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</si>
  <si>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</si>
  <si>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</si>
  <si>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</si>
  <si>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</si>
  <si>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</si>
  <si>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</si>
  <si>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</si>
  <si>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</si>
  <si>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</si>
  <si>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</si>
  <si>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</si>
  <si>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</si>
  <si>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</si>
  <si>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</si>
  <si>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</si>
  <si>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</si>
  <si>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</si>
  <si>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</si>
  <si>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</si>
  <si>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</si>
  <si>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</si>
  <si>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</si>
  <si>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</si>
  <si>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</si>
  <si>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</si>
  <si>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</si>
  <si>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</si>
  <si>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</si>
  <si>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</si>
  <si>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</si>
  <si>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</si>
  <si>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</si>
  <si>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</si>
  <si>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</si>
  <si>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</si>
  <si>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</si>
  <si>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</si>
  <si>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</si>
  <si>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</si>
  <si>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</si>
  <si>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</si>
  <si>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</si>
  <si>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</si>
  <si>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</si>
  <si>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</si>
  <si>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</si>
  <si>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</si>
  <si>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</si>
  <si>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</si>
  <si>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</si>
  <si>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</si>
  <si>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</si>
  <si>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</si>
  <si>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</si>
  <si>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</si>
  <si>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</si>
  <si>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</si>
  <si>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</si>
  <si>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</si>
  <si>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</si>
  <si>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</si>
  <si>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</si>
  <si>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</si>
  <si>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</si>
  <si>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</si>
  <si>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</si>
  <si>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</si>
  <si>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</si>
  <si>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</si>
  <si>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</si>
  <si>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</si>
  <si>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</si>
  <si>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</si>
  <si>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</si>
  <si>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</si>
  <si>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</si>
  <si>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</si>
  <si>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</si>
  <si>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</si>
  <si>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</si>
  <si>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</si>
  <si>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</si>
  <si>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</si>
  <si>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</si>
  <si>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</si>
  <si>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</si>
  <si>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</si>
  <si>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</si>
  <si>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</si>
  <si>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</si>
  <si>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</si>
  <si>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</si>
  <si>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</si>
  <si>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</si>
  <si>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</si>
  <si>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</si>
  <si>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</si>
  <si>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</si>
  <si>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</si>
  <si>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</si>
  <si>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</si>
  <si>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</si>
  <si>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</si>
  <si>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</si>
  <si>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</si>
  <si>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</si>
  <si>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</si>
  <si>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</si>
  <si>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</si>
  <si>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</si>
  <si>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</si>
  <si>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</si>
  <si>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</si>
  <si>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</si>
  <si>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</si>
  <si>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</si>
  <si>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</si>
  <si>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</si>
  <si>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</si>
  <si>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</si>
  <si>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</si>
  <si>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</si>
  <si>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</si>
  <si>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</si>
  <si>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</si>
  <si>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</si>
  <si>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</si>
  <si>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</si>
  <si>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</si>
  <si>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</si>
  <si>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</si>
  <si>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</si>
  <si>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</si>
  <si>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</si>
  <si>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</si>
  <si>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</si>
  <si>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</si>
  <si>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</si>
  <si>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</si>
  <si>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</si>
  <si>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</si>
  <si>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</si>
  <si>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</si>
  <si>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</si>
  <si>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</si>
  <si>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</si>
  <si>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</si>
  <si>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</si>
  <si>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</si>
  <si>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</si>
  <si>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</si>
  <si>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</si>
  <si>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</si>
  <si>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</si>
  <si>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</si>
  <si>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</si>
  <si>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</si>
  <si>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</si>
  <si>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</si>
  <si>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</si>
  <si>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</si>
  <si>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</si>
  <si>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</si>
  <si>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</si>
  <si>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</si>
  <si>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</si>
  <si>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</si>
  <si>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</si>
  <si>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</si>
  <si>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</si>
  <si>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</si>
  <si>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</si>
  <si>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</si>
  <si>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</si>
  <si>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</si>
  <si>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</si>
  <si>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</si>
  <si>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</si>
  <si>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</si>
  <si>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</si>
  <si>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</si>
  <si>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</si>
  <si>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</si>
  <si>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</si>
  <si>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</si>
  <si>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</si>
  <si>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</si>
  <si>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</si>
  <si>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</si>
  <si>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</si>
  <si>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</si>
  <si>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</si>
  <si>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</si>
  <si>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</si>
  <si>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</si>
  <si>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</si>
  <si>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</si>
  <si>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</si>
  <si>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</si>
  <si>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</si>
  <si>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</si>
  <si>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</si>
  <si>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</si>
  <si>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</si>
  <si>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</si>
  <si>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</si>
  <si>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</si>
  <si>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</si>
  <si>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</si>
  <si>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</si>
  <si>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</si>
  <si>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</si>
  <si>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</si>
  <si>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</si>
  <si>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</si>
  <si>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</si>
  <si>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</si>
  <si>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</si>
  <si>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</si>
  <si>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</si>
  <si>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</si>
  <si>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</si>
  <si>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</si>
  <si>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</si>
  <si>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</si>
  <si>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</si>
  <si>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</si>
  <si>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</si>
  <si>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</si>
  <si>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</si>
  <si>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</si>
  <si>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</si>
  <si>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</si>
  <si>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</si>
  <si>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</si>
  <si>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</si>
  <si>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</si>
  <si>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</si>
  <si>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</si>
  <si>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</si>
  <si>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</si>
  <si>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</si>
  <si>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</si>
  <si>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</si>
  <si>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</si>
  <si>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</si>
  <si>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</si>
  <si>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</si>
  <si>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</si>
  <si>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</si>
  <si>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</si>
  <si>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</si>
  <si>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</si>
  <si>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</si>
  <si>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</si>
  <si>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</si>
  <si>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</si>
  <si>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</si>
  <si>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</si>
  <si>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</si>
  <si>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</si>
  <si>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</si>
  <si>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</si>
  <si>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</si>
  <si>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</si>
  <si>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</si>
  <si>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</si>
  <si>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</si>
  <si>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</si>
  <si>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</si>
  <si>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</si>
  <si>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</si>
  <si>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</si>
  <si>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</si>
  <si>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</si>
  <si>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</si>
  <si>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</si>
  <si>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</si>
  <si>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</si>
  <si>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</si>
  <si>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</si>
  <si>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</si>
  <si>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</si>
  <si>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</si>
  <si>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</si>
  <si>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</si>
  <si>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</si>
  <si>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</si>
  <si>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</si>
  <si>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</si>
  <si>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</si>
  <si>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</si>
  <si>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</si>
  <si>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</si>
  <si>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</si>
  <si>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</si>
  <si>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</si>
  <si>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</si>
  <si>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</si>
  <si>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</si>
  <si>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</si>
  <si>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</si>
  <si>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</si>
  <si>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</si>
  <si>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</si>
  <si>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</si>
  <si>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</si>
  <si>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</si>
  <si>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</si>
  <si>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</si>
  <si>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</si>
  <si>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</si>
  <si>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</si>
  <si>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</si>
  <si>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</si>
  <si>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</si>
  <si>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</si>
  <si>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</si>
  <si>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</si>
  <si>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</si>
  <si>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</si>
  <si>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</si>
  <si>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</si>
  <si>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</si>
  <si>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</si>
  <si>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</si>
  <si>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</si>
  <si>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</si>
  <si>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</si>
  <si>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</si>
  <si>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</si>
  <si>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</si>
  <si>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</si>
  <si>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</si>
  <si>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</si>
  <si>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</si>
  <si>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</si>
  <si>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</si>
  <si>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</si>
  <si>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</si>
  <si>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</si>
  <si>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</si>
  <si>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</si>
  <si>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</si>
  <si>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</si>
  <si>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</si>
  <si>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</si>
  <si>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</si>
  <si>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</si>
  <si>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</si>
  <si>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</si>
  <si>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</si>
  <si>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</si>
  <si>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</si>
  <si>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</si>
  <si>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</si>
  <si>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</si>
  <si>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</si>
  <si>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</si>
  <si>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</si>
  <si>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</si>
  <si>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</si>
  <si>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</si>
  <si>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</si>
  <si>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</si>
  <si>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</si>
  <si>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</si>
  <si>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</si>
  <si>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</si>
  <si>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</si>
  <si>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</si>
  <si>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</si>
  <si>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</si>
  <si>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</si>
  <si>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</si>
  <si>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</si>
  <si>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</si>
  <si>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</si>
  <si>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</si>
  <si>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</si>
  <si>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</si>
  <si>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</si>
  <si>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</si>
  <si>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</si>
  <si>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</si>
  <si>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</si>
  <si>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</si>
  <si>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</si>
  <si>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</si>
  <si>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</si>
  <si>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</si>
  <si>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</si>
  <si>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</si>
  <si>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</si>
  <si>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</si>
  <si>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</si>
  <si>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</si>
  <si>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</si>
  <si>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</si>
  <si>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</si>
  <si>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</si>
  <si>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</si>
  <si>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</si>
  <si>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</si>
  <si>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</si>
  <si>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</si>
  <si>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</si>
  <si>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</si>
  <si>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</si>
  <si>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</si>
  <si>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</si>
  <si>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</si>
  <si>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</si>
  <si>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</si>
  <si>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</si>
  <si>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</si>
  <si>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</si>
  <si>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</si>
  <si>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</si>
  <si>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</si>
  <si>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</si>
  <si>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</si>
  <si>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</si>
  <si>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</si>
  <si>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</si>
  <si>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</si>
  <si>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</si>
  <si>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</si>
  <si>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</si>
  <si>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</si>
  <si>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</si>
  <si>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</si>
  <si>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</si>
  <si>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</si>
  <si>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</si>
  <si>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</si>
  <si>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</si>
  <si>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</si>
  <si>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</si>
  <si>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</si>
  <si>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</si>
  <si>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</si>
  <si>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</si>
  <si>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</si>
  <si>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</si>
  <si>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</si>
  <si>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</si>
  <si>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</si>
  <si>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</si>
  <si>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</si>
  <si>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</si>
  <si>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</si>
  <si>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</si>
  <si>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</si>
  <si>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</si>
  <si>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</si>
  <si>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</si>
  <si>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</si>
  <si>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</si>
  <si>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</si>
  <si>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</si>
  <si>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</si>
  <si>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</si>
  <si>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</si>
  <si>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</si>
  <si>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</si>
  <si>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</si>
  <si>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</si>
  <si>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</si>
  <si>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</si>
  <si>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</si>
  <si>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</si>
  <si>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</si>
  <si>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</si>
  <si>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</si>
  <si>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</si>
  <si>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</si>
  <si>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</si>
  <si>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</si>
  <si>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</si>
  <si>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</si>
  <si>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</si>
  <si>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</si>
  <si>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</si>
  <si>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</si>
  <si>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</si>
  <si>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</si>
  <si>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</si>
  <si>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</si>
  <si>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</si>
  <si>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</si>
  <si>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</si>
  <si>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</si>
  <si>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</si>
  <si>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</si>
  <si>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</si>
  <si>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</si>
  <si>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</si>
  <si>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</si>
  <si>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</si>
  <si>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</si>
  <si>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</si>
  <si>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</si>
  <si>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</si>
  <si>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</si>
  <si>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</si>
  <si>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</si>
  <si>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</si>
  <si>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</si>
  <si>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</si>
  <si>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</si>
  <si>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</si>
  <si>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</si>
  <si>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</si>
  <si>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</si>
  <si>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</si>
  <si>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</si>
  <si>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</si>
  <si>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</si>
  <si>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</si>
  <si>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</si>
  <si>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</si>
  <si>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</si>
  <si>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</si>
  <si>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</si>
  <si>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</si>
  <si>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</si>
  <si>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</si>
  <si>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</si>
  <si>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</si>
  <si>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</si>
  <si>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</si>
  <si>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</si>
  <si>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</si>
  <si>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</si>
  <si>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</si>
  <si>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</si>
  <si>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</si>
  <si>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</si>
  <si>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</si>
  <si>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</si>
  <si>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</si>
  <si>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</si>
  <si>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</si>
  <si>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</si>
  <si>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</si>
  <si>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</si>
  <si>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</si>
  <si>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</si>
  <si>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</si>
  <si>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</si>
  <si>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</si>
  <si>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</si>
  <si>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</si>
  <si>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</si>
  <si>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</si>
  <si>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</si>
  <si>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</si>
  <si>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</si>
  <si>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</si>
  <si>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</si>
  <si>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</si>
  <si>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</si>
  <si>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</si>
  <si>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</si>
  <si>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</si>
  <si>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</si>
  <si>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</si>
  <si>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</si>
  <si>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</si>
  <si>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</si>
  <si>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</si>
  <si>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</si>
  <si>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</si>
  <si>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</si>
  <si>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</si>
  <si>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</si>
  <si>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</si>
  <si>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</si>
  <si>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</si>
  <si>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</si>
  <si>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</si>
  <si>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</si>
  <si>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</si>
  <si>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</si>
  <si>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</si>
  <si>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</si>
  <si>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</si>
  <si>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</si>
  <si>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</si>
  <si>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</si>
  <si>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</si>
  <si>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</si>
  <si>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</si>
  <si>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</si>
  <si>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</si>
  <si>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</si>
  <si>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</si>
  <si>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</si>
  <si>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</si>
  <si>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</si>
  <si>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</si>
  <si>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</si>
  <si>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</si>
  <si>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</si>
  <si>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</si>
  <si>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</si>
  <si>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</si>
  <si>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</si>
  <si>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</si>
  <si>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</si>
  <si>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</si>
  <si>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</si>
  <si>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</si>
  <si>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</si>
  <si>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</si>
  <si>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</si>
  <si>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</si>
  <si>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</si>
  <si>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</si>
  <si>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</si>
  <si>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</si>
  <si>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</si>
  <si>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</si>
  <si>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</si>
  <si>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</si>
  <si>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</si>
  <si>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</si>
  <si>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</si>
  <si>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</si>
  <si>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</si>
  <si>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</si>
  <si>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</si>
  <si>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</si>
  <si>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</si>
  <si>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</si>
  <si>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</si>
  <si>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</si>
  <si>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</si>
  <si>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</si>
  <si>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</si>
  <si>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</si>
  <si>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</si>
  <si>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</si>
  <si>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</si>
  <si>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</si>
  <si>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</si>
  <si>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</si>
  <si>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</si>
  <si>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</si>
  <si>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</si>
  <si>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</si>
  <si>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</si>
  <si>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</si>
  <si>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</si>
  <si>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</si>
  <si>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</si>
  <si>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</si>
  <si>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</si>
  <si>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</si>
  <si>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</si>
  <si>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</si>
  <si>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</si>
  <si>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</si>
  <si>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</si>
  <si>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</si>
  <si>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</si>
  <si>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</si>
  <si>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</si>
  <si>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</si>
  <si>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</si>
  <si>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</si>
  <si>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</si>
  <si>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</si>
  <si>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</si>
  <si>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</si>
  <si>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</si>
  <si>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</si>
  <si>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</si>
  <si>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</si>
  <si>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</si>
  <si>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</si>
  <si>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</si>
  <si>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</si>
  <si>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</si>
  <si>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</si>
  <si>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</si>
  <si>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</si>
  <si>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</si>
  <si>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</si>
  <si>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</si>
  <si>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</si>
  <si>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</si>
  <si>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</si>
  <si>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</si>
  <si>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</si>
  <si>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</si>
  <si>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</si>
  <si>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</si>
  <si>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</si>
  <si>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</si>
  <si>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</si>
  <si>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</si>
  <si>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</si>
  <si>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</si>
  <si>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</si>
  <si>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</si>
  <si>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</si>
  <si>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</si>
  <si>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</si>
  <si>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</si>
  <si>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</si>
  <si>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</si>
  <si>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</si>
  <si>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</si>
  <si>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</si>
  <si>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</si>
  <si>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</si>
  <si>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</si>
  <si>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</si>
  <si>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</si>
  <si>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</si>
  <si>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</si>
  <si>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</si>
  <si>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</si>
  <si>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</si>
  <si>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</si>
  <si>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</si>
  <si>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</si>
  <si>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</si>
  <si>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</si>
  <si>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</si>
  <si>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</si>
  <si>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</si>
  <si>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</si>
  <si>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</si>
  <si>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</si>
  <si>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</si>
  <si>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</si>
  <si>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</si>
  <si>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</si>
  <si>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</si>
  <si>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</si>
  <si>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</si>
  <si>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</si>
  <si>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</si>
  <si>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</si>
  <si>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</si>
  <si>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</si>
  <si>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</si>
  <si>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</si>
  <si>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</si>
  <si>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</si>
  <si>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</si>
  <si>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</si>
  <si>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</si>
  <si>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</si>
  <si>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</si>
  <si>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</si>
  <si>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</si>
  <si>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</si>
  <si>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</si>
  <si>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</si>
  <si>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</si>
  <si>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</si>
  <si>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</si>
  <si>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</si>
  <si>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</si>
  <si>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</si>
  <si>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</si>
  <si>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</si>
  <si>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</si>
  <si>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</si>
  <si>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</si>
  <si>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</si>
  <si>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</si>
  <si>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</si>
  <si>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</si>
  <si>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</si>
  <si>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</si>
  <si>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</si>
  <si>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</si>
  <si>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</si>
  <si>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</si>
  <si>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</si>
  <si>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</si>
  <si>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</si>
  <si>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</si>
  <si>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</si>
  <si>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</si>
  <si>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</si>
  <si>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</si>
  <si>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</si>
  <si>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</si>
  <si>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</si>
  <si>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</si>
  <si>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</si>
  <si>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</si>
  <si>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</si>
  <si>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</si>
  <si>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</si>
  <si>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</si>
  <si>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</si>
  <si>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</si>
  <si>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</si>
  <si>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</si>
  <si>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</si>
  <si>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</si>
  <si>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</si>
  <si>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</si>
  <si>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</si>
  <si>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</si>
  <si>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</si>
  <si>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</si>
  <si>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</si>
  <si>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</si>
  <si>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</si>
  <si>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</si>
  <si>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</si>
  <si>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</si>
  <si>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</si>
  <si>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</si>
  <si>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</si>
  <si>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</si>
  <si>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</si>
  <si>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</si>
  <si>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</si>
  <si>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</si>
  <si>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</si>
  <si>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</si>
  <si>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</si>
  <si>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</si>
  <si>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</si>
  <si>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</si>
  <si>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</si>
  <si>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</si>
  <si>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</si>
  <si>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</si>
  <si>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</si>
  <si>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</si>
  <si>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</si>
  <si>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</si>
  <si>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</si>
  <si>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</si>
  <si>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</si>
  <si>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</si>
  <si>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</si>
  <si>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</si>
  <si>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</si>
  <si>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</si>
  <si>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</si>
  <si>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</si>
  <si>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</si>
  <si>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</si>
  <si>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</si>
  <si>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</si>
  <si>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</si>
  <si>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</si>
  <si>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</si>
  <si>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</si>
  <si>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</si>
  <si>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</si>
  <si>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</si>
  <si>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</si>
  <si>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</si>
  <si>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</si>
  <si>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</si>
  <si>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</si>
  <si>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</si>
  <si>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</si>
  <si>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</si>
  <si>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</si>
  <si>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</si>
  <si>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</si>
  <si>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</si>
  <si>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</si>
  <si>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</si>
  <si>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</si>
  <si>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</si>
  <si>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</si>
  <si>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</si>
  <si>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</si>
  <si>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</si>
  <si>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</si>
  <si>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</si>
  <si>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</si>
  <si>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</si>
  <si>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</si>
  <si>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</si>
  <si>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</si>
  <si>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</si>
  <si>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</si>
  <si>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</si>
  <si>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</si>
  <si>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</si>
  <si>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</si>
  <si>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</si>
  <si>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</si>
  <si>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</si>
  <si>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</si>
  <si>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</si>
  <si>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</si>
  <si>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</si>
  <si>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</si>
  <si>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</si>
  <si>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</si>
  <si>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</si>
  <si>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</si>
  <si>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</si>
  <si>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</si>
  <si>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</si>
  <si>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</si>
  <si>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</si>
  <si>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</si>
  <si>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</si>
  <si>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</si>
  <si>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</si>
  <si>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</si>
  <si>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</si>
  <si>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</si>
  <si>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</si>
  <si>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</si>
  <si>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</si>
  <si>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</si>
  <si>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</si>
  <si>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</si>
  <si>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</si>
  <si>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</si>
  <si>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</si>
  <si>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</si>
  <si>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</si>
  <si>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</si>
  <si>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</si>
  <si>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</si>
  <si>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</si>
  <si>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</si>
  <si>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</si>
  <si>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</si>
  <si>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</si>
  <si>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</si>
  <si>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</si>
  <si>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</si>
  <si>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</si>
  <si>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</si>
  <si>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</si>
  <si>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</si>
  <si>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</si>
  <si>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</si>
  <si>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</si>
  <si>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</si>
  <si>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</si>
  <si>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</si>
  <si>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</si>
  <si>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</si>
  <si>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</si>
  <si>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</si>
  <si>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</si>
  <si>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</si>
  <si>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</si>
  <si>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</si>
  <si>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</si>
  <si>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</si>
  <si>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</si>
  <si>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</si>
  <si>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</si>
  <si>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</si>
  <si>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</si>
  <si>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</si>
  <si>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</si>
  <si>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</si>
  <si>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</si>
  <si>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</si>
  <si>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</si>
  <si>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</si>
  <si>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</si>
  <si>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</si>
  <si>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</si>
  <si>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</si>
  <si>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</si>
  <si>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</si>
  <si>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</si>
  <si>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</si>
  <si>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</si>
  <si>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</si>
  <si>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</si>
  <si>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</si>
  <si>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</si>
  <si>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</si>
  <si>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</si>
  <si>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</si>
  <si>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</si>
  <si>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</si>
  <si>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</si>
  <si>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</si>
  <si>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</si>
  <si>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</si>
  <si>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</si>
  <si>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</si>
  <si>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</si>
  <si>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</si>
  <si>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</si>
  <si>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</si>
  <si>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</si>
  <si>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</si>
  <si>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</si>
  <si>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</si>
  <si>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</si>
  <si>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</si>
  <si>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</si>
  <si>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</si>
  <si>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</si>
  <si>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</si>
  <si>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</si>
  <si>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</si>
  <si>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</si>
  <si>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</si>
  <si>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</si>
  <si>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</si>
  <si>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</si>
  <si>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</si>
  <si>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</si>
  <si>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</si>
  <si>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</si>
  <si>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</si>
  <si>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</si>
  <si>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</si>
  <si>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</si>
  <si>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</si>
  <si>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</si>
  <si>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</si>
  <si>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</si>
  <si>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</si>
  <si>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</si>
  <si>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</si>
  <si>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</si>
  <si>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</si>
  <si>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</si>
  <si>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</si>
  <si>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</si>
  <si>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</si>
  <si>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</si>
  <si>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</si>
  <si>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</si>
  <si>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</si>
  <si>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</si>
  <si>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</si>
  <si>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</si>
  <si>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</si>
  <si>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</si>
  <si>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</si>
  <si>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</si>
  <si>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</si>
  <si>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</si>
  <si>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</si>
  <si>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</si>
  <si>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</si>
  <si>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</si>
  <si>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</si>
  <si>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</si>
  <si>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</si>
  <si>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</si>
  <si>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</si>
  <si>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</si>
  <si>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</si>
  <si>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</si>
  <si>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</si>
  <si>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</si>
  <si>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</si>
  <si>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</si>
  <si>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</si>
  <si>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</si>
  <si>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</si>
  <si>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</si>
  <si>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</si>
  <si>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</si>
  <si>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</si>
  <si>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</si>
  <si>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</si>
  <si>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</si>
  <si>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</si>
  <si>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</si>
  <si>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</si>
  <si>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</si>
  <si>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</si>
  <si>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</si>
  <si>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</si>
  <si>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</si>
  <si>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</si>
  <si>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</si>
  <si>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</si>
  <si>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</si>
  <si>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</si>
  <si>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</si>
  <si>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</si>
  <si>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</si>
  <si>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</si>
  <si>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</si>
  <si>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</si>
  <si>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</si>
  <si>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</si>
  <si>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</si>
  <si>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</si>
  <si>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</si>
  <si>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</si>
  <si>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</si>
  <si>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</si>
  <si>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</si>
  <si>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</si>
  <si>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</si>
  <si>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</si>
  <si>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</si>
  <si>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</si>
  <si>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</si>
  <si>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</si>
  <si>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</si>
  <si>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</si>
  <si>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</si>
  <si>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</si>
  <si>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</si>
  <si>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</si>
  <si>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</si>
  <si>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</si>
  <si>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</si>
  <si>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</si>
  <si>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</si>
  <si>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</si>
  <si>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</si>
  <si>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</si>
  <si>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</si>
  <si>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</si>
  <si>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</si>
  <si>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</si>
  <si>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</si>
  <si>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</si>
  <si>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</si>
  <si>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</si>
  <si>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</si>
  <si>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</si>
  <si>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</si>
  <si>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</si>
  <si>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</si>
  <si>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</si>
  <si>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</si>
  <si>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</si>
  <si>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</si>
  <si>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</si>
  <si>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</si>
  <si>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</si>
  <si>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</si>
  <si>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</si>
  <si>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</si>
  <si>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</si>
  <si>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</si>
  <si>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</si>
  <si>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</si>
  <si>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</si>
  <si>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</si>
  <si>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</si>
  <si>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</si>
  <si>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</si>
  <si>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</si>
  <si>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</si>
  <si>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</si>
  <si>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</si>
  <si>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</si>
  <si>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</si>
  <si>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</si>
  <si>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</si>
  <si>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</si>
  <si>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</si>
  <si>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</si>
  <si>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</si>
  <si>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</si>
  <si>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</si>
  <si>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</si>
  <si>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</si>
  <si>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</si>
  <si>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</si>
  <si>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</si>
  <si>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</si>
  <si>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</si>
  <si>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</si>
  <si>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</si>
  <si>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</si>
  <si>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</si>
  <si>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</si>
  <si>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</si>
  <si>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</si>
  <si>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</si>
  <si>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</si>
  <si>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</si>
  <si>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</si>
  <si>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</si>
  <si>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</si>
  <si>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</si>
  <si>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</si>
  <si>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</si>
  <si>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</si>
  <si>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</si>
  <si>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</si>
  <si>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</si>
  <si>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</si>
  <si>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</si>
  <si>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</si>
  <si>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</si>
  <si>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</si>
  <si>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</si>
  <si>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</si>
  <si>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</si>
  <si>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</si>
  <si>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</si>
  <si>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</si>
  <si>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</si>
  <si>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</si>
  <si>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</si>
  <si>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</si>
  <si>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</si>
  <si>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</si>
  <si>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</si>
  <si>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</si>
  <si>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</si>
  <si>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</si>
  <si>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</si>
  <si>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</si>
  <si>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</si>
  <si>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</si>
  <si>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</si>
  <si>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</si>
  <si>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</si>
  <si>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</si>
  <si>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</si>
  <si>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</si>
  <si>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</si>
  <si>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</si>
  <si>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</si>
  <si>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</si>
  <si>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</si>
  <si>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</si>
  <si>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</si>
  <si>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</si>
  <si>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</si>
  <si>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</si>
  <si>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</si>
  <si>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</si>
  <si>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</si>
  <si>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</si>
  <si>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</si>
  <si>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</si>
  <si>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</si>
  <si>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</si>
  <si>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</si>
  <si>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</si>
  <si>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</si>
  <si>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</si>
  <si>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</si>
  <si>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</si>
  <si>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</si>
  <si>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</si>
  <si>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</si>
  <si>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</si>
  <si>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</si>
  <si>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</si>
  <si>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</si>
  <si>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</si>
  <si>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</si>
  <si>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</si>
  <si>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</si>
  <si>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</si>
  <si>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</si>
  <si>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</si>
  <si>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</si>
  <si>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</si>
  <si>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</si>
  <si>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</si>
  <si>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</si>
  <si>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</si>
  <si>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</si>
  <si>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</si>
  <si>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</si>
  <si>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</si>
  <si>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</si>
  <si>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</si>
  <si>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</si>
  <si>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</si>
  <si>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</si>
  <si>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</si>
  <si>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</si>
  <si>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</si>
  <si>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</si>
  <si>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</si>
  <si>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</si>
  <si>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</si>
  <si>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</si>
  <si>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</si>
  <si>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</si>
  <si>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</si>
  <si>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</si>
  <si>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</si>
  <si>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</si>
  <si>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</si>
  <si>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</si>
  <si>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</si>
  <si>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</si>
  <si>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</si>
  <si>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</si>
  <si>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</si>
  <si>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</si>
  <si>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</si>
  <si>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</si>
  <si>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</si>
  <si>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</si>
  <si>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</si>
  <si>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</si>
  <si>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</si>
  <si>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</si>
  <si>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</si>
  <si>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</si>
  <si>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</si>
  <si>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</si>
  <si>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</si>
  <si>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</si>
  <si>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</si>
  <si>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</si>
  <si>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</si>
  <si>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</si>
  <si>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</si>
  <si>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</si>
  <si>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</si>
  <si>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</si>
  <si>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</si>
  <si>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</si>
  <si>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</si>
  <si>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</si>
  <si>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</si>
  <si>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</si>
  <si>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</si>
  <si>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</si>
  <si>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</si>
  <si>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</si>
  <si>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</si>
  <si>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</si>
  <si>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</si>
  <si>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</si>
  <si>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</si>
  <si>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</si>
  <si>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</si>
  <si>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</si>
  <si>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</si>
  <si>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</si>
  <si>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</si>
  <si>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</si>
  <si>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</si>
  <si>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</si>
  <si>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</si>
  <si>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</si>
  <si>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</si>
  <si>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</si>
  <si>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</si>
  <si>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</si>
  <si>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</si>
  <si>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</si>
  <si>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</si>
  <si>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</si>
  <si>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</si>
  <si>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</si>
  <si>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</si>
  <si>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</si>
  <si>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</si>
  <si>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</si>
  <si>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</si>
  <si>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</si>
  <si>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</si>
  <si>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</si>
  <si>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</si>
  <si>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</si>
  <si>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</si>
  <si>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</si>
  <si>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</si>
  <si>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</si>
  <si>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</si>
  <si>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</si>
  <si>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</si>
  <si>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</si>
  <si>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</si>
  <si>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</si>
  <si>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</si>
  <si>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</si>
  <si>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</si>
  <si>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</si>
  <si>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</si>
  <si>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</si>
  <si>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</si>
  <si>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</si>
  <si>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</si>
  <si>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</si>
  <si>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</si>
  <si>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</si>
  <si>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</si>
  <si>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</si>
  <si>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</si>
  <si>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</si>
  <si>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</si>
  <si>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</si>
  <si>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</si>
  <si>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</si>
  <si>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</si>
  <si>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</si>
  <si>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</si>
  <si>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</si>
  <si>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</si>
  <si>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</si>
  <si>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</si>
  <si>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</si>
  <si>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</si>
  <si>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</si>
  <si>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</si>
  <si>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</si>
  <si>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</si>
  <si>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</si>
  <si>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</si>
  <si>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</si>
  <si>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</si>
  <si>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</si>
  <si>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</si>
  <si>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</si>
  <si>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</si>
  <si>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</si>
  <si>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</si>
  <si>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</si>
  <si>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</si>
  <si>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</si>
  <si>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</si>
  <si>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</si>
  <si>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</si>
  <si>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</si>
  <si>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</si>
  <si>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</si>
  <si>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</si>
  <si>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</si>
  <si>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</si>
  <si>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</si>
  <si>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</si>
  <si>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</si>
  <si>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</si>
  <si>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</si>
  <si>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</si>
  <si>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</si>
  <si>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</si>
  <si>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</si>
  <si>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</si>
  <si>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</si>
  <si>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</si>
  <si>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</si>
  <si>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</si>
  <si>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</si>
  <si>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</si>
  <si>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</si>
  <si>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</si>
  <si>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</si>
  <si>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</si>
  <si>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</si>
  <si>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</si>
  <si>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</si>
  <si>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</si>
  <si>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</si>
  <si>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</si>
  <si>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</si>
  <si>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</si>
  <si>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</si>
  <si>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</si>
  <si>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</si>
  <si>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</si>
  <si>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</si>
  <si>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</si>
  <si>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</si>
  <si>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</si>
  <si>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</si>
  <si>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</si>
  <si>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</si>
  <si>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</si>
  <si>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</si>
  <si>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</si>
  <si>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</si>
  <si>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</si>
  <si>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</si>
  <si>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</si>
  <si>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</si>
  <si>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</si>
  <si>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</si>
  <si>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</si>
  <si>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</si>
  <si>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</si>
  <si>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</si>
  <si>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</si>
  <si>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</si>
  <si>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</si>
  <si>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</si>
  <si>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</si>
  <si>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</si>
  <si>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</si>
  <si>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</si>
  <si>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</si>
  <si>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</si>
  <si>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</si>
  <si>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</si>
  <si>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</si>
  <si>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</si>
  <si>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</si>
  <si>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</si>
  <si>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</si>
  <si>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</si>
  <si>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</si>
  <si>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</si>
  <si>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</si>
  <si>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</si>
  <si>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</si>
  <si>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</si>
  <si>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</si>
  <si>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</si>
  <si>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</si>
  <si>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</si>
  <si>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</si>
  <si>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</si>
  <si>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</si>
  <si>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</si>
  <si>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</si>
  <si>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</si>
  <si>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</si>
  <si>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</si>
  <si>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</si>
  <si>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</si>
  <si>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</si>
  <si>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</si>
  <si>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</si>
  <si>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</si>
  <si>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</si>
  <si>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</si>
  <si>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</si>
  <si>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</si>
  <si>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</si>
  <si>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</si>
  <si>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</si>
  <si>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</si>
  <si>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</si>
  <si>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</si>
  <si>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</si>
  <si>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</si>
  <si>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</si>
  <si>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</si>
  <si>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</si>
  <si>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</si>
  <si>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</si>
  <si>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</si>
  <si>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</si>
  <si>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</si>
  <si>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</si>
  <si>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</si>
  <si>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</si>
  <si>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</si>
  <si>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</si>
  <si>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</si>
  <si>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</si>
  <si>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</si>
  <si>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</si>
  <si>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</si>
  <si>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</si>
  <si>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</si>
  <si>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</si>
  <si>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</si>
  <si>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</si>
  <si>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</si>
  <si>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</si>
  <si>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</si>
  <si>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</si>
  <si>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</si>
  <si>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</si>
  <si>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</si>
  <si>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</si>
  <si>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</si>
  <si>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</si>
  <si>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</si>
  <si>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</si>
  <si>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</si>
  <si>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</si>
  <si>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</si>
  <si>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</si>
  <si>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</si>
  <si>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</si>
  <si>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</si>
  <si>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</si>
  <si>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</si>
  <si>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</si>
  <si>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</si>
  <si>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</si>
  <si>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</si>
  <si>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</si>
  <si>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</si>
  <si>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</si>
  <si>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</si>
  <si>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</si>
  <si>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</si>
  <si>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</si>
  <si>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</si>
  <si>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</si>
  <si>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</si>
  <si>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</si>
  <si>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</si>
  <si>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</si>
  <si>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</si>
  <si>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</si>
  <si>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</si>
  <si>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</si>
  <si>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</si>
  <si>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</si>
  <si>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</si>
  <si>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</si>
  <si>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</si>
  <si>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</si>
  <si>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</si>
  <si>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</si>
  <si>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</si>
  <si>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</si>
  <si>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</si>
  <si>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</si>
  <si>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</si>
  <si>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</si>
  <si>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</si>
  <si>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</si>
  <si>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</si>
  <si>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</si>
  <si>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</si>
  <si>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</si>
  <si>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</si>
  <si>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</si>
  <si>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</si>
  <si>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</si>
  <si>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</si>
  <si>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</si>
  <si>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</si>
  <si>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</si>
  <si>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</si>
  <si>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</si>
  <si>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</si>
  <si>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</si>
  <si>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</si>
  <si>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</si>
  <si>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</si>
  <si>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</si>
  <si>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</si>
  <si>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</si>
  <si>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</si>
  <si>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</si>
  <si>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</si>
  <si>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</si>
  <si>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</si>
  <si>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</si>
  <si>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</si>
  <si>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</si>
  <si>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</si>
  <si>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</si>
  <si>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</si>
  <si>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</si>
  <si>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</si>
  <si>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</si>
  <si>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</si>
  <si>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</si>
  <si>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</si>
  <si>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</si>
  <si>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</si>
  <si>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</si>
  <si>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</si>
  <si>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</si>
  <si>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</si>
  <si>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</si>
  <si>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</si>
  <si>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</si>
  <si>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</si>
  <si>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</si>
  <si>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</si>
  <si>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</si>
  <si>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</si>
  <si>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</si>
  <si>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</si>
  <si>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</si>
  <si>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</si>
  <si>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</si>
  <si>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</si>
  <si>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</si>
  <si>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</si>
  <si>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</si>
  <si>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</si>
  <si>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</si>
  <si>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</si>
  <si>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</si>
  <si>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</si>
  <si>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</si>
  <si>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</si>
  <si>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</si>
  <si>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</si>
  <si>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</si>
  <si>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</si>
  <si>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</si>
  <si>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</si>
  <si>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</si>
  <si>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</si>
  <si>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</si>
  <si>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</si>
  <si>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</si>
  <si>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</si>
  <si>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</si>
  <si>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</si>
  <si>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</si>
  <si>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</si>
  <si>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</si>
  <si>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</si>
  <si>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</si>
  <si>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</si>
  <si>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</si>
  <si>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</si>
  <si>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</si>
  <si>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</si>
  <si>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</si>
  <si>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</si>
  <si>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</si>
  <si>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</si>
  <si>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</si>
  <si>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</si>
  <si>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</si>
  <si>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</si>
  <si>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</si>
  <si>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</si>
  <si>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</si>
  <si>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</si>
  <si>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</si>
  <si>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</si>
  <si>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</si>
  <si>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</si>
  <si>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</si>
  <si>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</si>
  <si>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</si>
  <si>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</si>
  <si>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</si>
  <si>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</si>
  <si>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</si>
  <si>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</si>
  <si>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</si>
  <si>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</si>
  <si>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</si>
  <si>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</si>
  <si>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</si>
  <si>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</si>
  <si>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</si>
  <si>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</si>
  <si>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</si>
  <si>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</si>
  <si>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</si>
  <si>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</si>
  <si>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</si>
  <si>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</si>
  <si>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</si>
  <si>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</si>
  <si>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</si>
  <si>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</si>
  <si>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</si>
  <si>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</si>
  <si>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</si>
  <si>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</si>
  <si>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</si>
  <si>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</si>
  <si>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</si>
  <si>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</si>
  <si>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</si>
  <si>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</si>
  <si>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</si>
  <si>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</si>
  <si>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</si>
  <si>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</si>
  <si>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</si>
  <si>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</si>
  <si>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</si>
  <si>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</si>
  <si>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</si>
  <si>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</si>
  <si>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</si>
  <si>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</si>
  <si>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</si>
  <si>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</si>
  <si>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</si>
  <si>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</si>
  <si>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</si>
  <si>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</si>
  <si>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</si>
  <si>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</si>
  <si>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</si>
  <si>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</si>
  <si>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</si>
  <si>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</si>
  <si>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</si>
  <si>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</si>
  <si>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</si>
  <si>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</si>
  <si>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</si>
  <si>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</si>
  <si>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</si>
  <si>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</si>
  <si>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</si>
  <si>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</si>
  <si>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</si>
  <si>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</si>
  <si>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</si>
  <si>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</si>
  <si>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</si>
  <si>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</si>
  <si>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</si>
  <si>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</si>
  <si>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</si>
  <si>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</si>
  <si>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</si>
  <si>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</si>
  <si>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</si>
  <si>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</si>
  <si>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</si>
  <si>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</si>
  <si>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</si>
  <si>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</si>
  <si>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</si>
  <si>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</si>
  <si>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</si>
  <si>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</si>
  <si>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</si>
  <si>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</si>
  <si>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</si>
  <si>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</si>
  <si>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</si>
  <si>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</si>
  <si>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</si>
  <si>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</si>
  <si>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</si>
  <si>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</si>
  <si>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</si>
  <si>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</si>
  <si>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</si>
  <si>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</si>
  <si>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</si>
  <si>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</si>
  <si>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</si>
  <si>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</si>
  <si>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</si>
  <si>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</si>
  <si>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</si>
  <si>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</si>
  <si>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</si>
  <si>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</si>
  <si>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</si>
  <si>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</si>
  <si>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</si>
  <si>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</si>
  <si>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</si>
  <si>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</si>
  <si>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</si>
  <si>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</si>
  <si>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</si>
  <si>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</si>
  <si>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</si>
  <si>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</si>
  <si>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</si>
  <si>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</si>
  <si>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</si>
  <si>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</si>
  <si>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</si>
  <si>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</si>
  <si>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</si>
  <si>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</si>
  <si>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</si>
  <si>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</si>
  <si>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</si>
  <si>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</si>
  <si>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</si>
  <si>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</si>
  <si>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</si>
  <si>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</si>
  <si>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</si>
  <si>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</si>
  <si>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</si>
  <si>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</si>
  <si>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</si>
  <si>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</si>
  <si>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</si>
  <si>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</si>
  <si>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</si>
  <si>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</si>
  <si>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</si>
  <si>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</si>
  <si>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</si>
  <si>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</si>
  <si>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</si>
  <si>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</si>
  <si>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</si>
  <si>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</si>
  <si>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</si>
  <si>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</si>
  <si>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</si>
  <si>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</si>
  <si>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</si>
  <si>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</si>
  <si>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</si>
  <si>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</si>
  <si>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</si>
  <si>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</si>
  <si>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</si>
  <si>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</si>
  <si>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</si>
  <si>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</si>
  <si>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</si>
  <si>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</si>
  <si>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</si>
  <si>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</si>
  <si>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</si>
  <si>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</si>
  <si>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</si>
  <si>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</si>
  <si>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</si>
  <si>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</si>
  <si>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</si>
  <si>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</si>
  <si>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</si>
  <si>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</si>
  <si>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</si>
  <si>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</si>
  <si>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</si>
  <si>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</si>
  <si>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</si>
  <si>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</si>
  <si>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</si>
  <si>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</si>
  <si>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</si>
  <si>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</si>
  <si>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</si>
  <si>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</si>
  <si>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</si>
  <si>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</si>
  <si>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</si>
  <si>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</si>
  <si>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</si>
  <si>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</si>
  <si>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</si>
  <si>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</si>
  <si>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</si>
  <si>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</si>
  <si>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</si>
  <si>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</si>
  <si>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</si>
  <si>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</si>
  <si>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</si>
  <si>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</si>
  <si>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</si>
  <si>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</si>
  <si>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</si>
  <si>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</si>
  <si>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</si>
  <si>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</si>
  <si>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</si>
  <si>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</si>
  <si>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</si>
  <si>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</si>
  <si>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</si>
  <si>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</si>
  <si>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</si>
  <si>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</si>
  <si>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</si>
  <si>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</si>
  <si>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</si>
  <si>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</si>
  <si>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</si>
  <si>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</si>
  <si>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</si>
  <si>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</si>
  <si>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</si>
  <si>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</si>
  <si>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</si>
  <si>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</si>
  <si>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</si>
  <si>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</si>
  <si>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</si>
  <si>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</si>
  <si>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</si>
  <si>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</si>
  <si>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</si>
  <si>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</si>
  <si>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</si>
  <si>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</si>
  <si>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</si>
  <si>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</si>
  <si>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</si>
  <si>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</si>
  <si>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</si>
  <si>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</si>
  <si>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</si>
  <si>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</si>
  <si>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</si>
  <si>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</si>
  <si>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</si>
  <si>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</si>
  <si>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</si>
  <si>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</si>
  <si>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</si>
  <si>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</si>
  <si>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</si>
  <si>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</si>
  <si>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</si>
  <si>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</si>
  <si>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</si>
  <si>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</si>
  <si>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</si>
  <si>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</si>
  <si>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</si>
  <si>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</si>
  <si>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</si>
  <si>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</si>
  <si>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</si>
  <si>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</si>
  <si>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</si>
  <si>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</si>
  <si>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</si>
  <si>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</si>
  <si>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</si>
  <si>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</si>
  <si>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</si>
  <si>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</si>
  <si>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</si>
  <si>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</si>
  <si>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</si>
  <si>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</si>
  <si>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</si>
  <si>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</si>
  <si>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</si>
  <si>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</si>
  <si>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</si>
  <si>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</si>
  <si>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</si>
  <si>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</si>
  <si>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</si>
  <si>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</si>
  <si>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</si>
  <si>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</si>
  <si>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</si>
  <si>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</si>
  <si>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</si>
  <si>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</si>
  <si>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</si>
  <si>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</si>
  <si>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</si>
  <si>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</si>
  <si>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</si>
  <si>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</si>
  <si>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</si>
  <si>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</si>
  <si>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</si>
  <si>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</si>
  <si>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</si>
  <si>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</si>
  <si>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</si>
  <si>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</si>
  <si>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</si>
  <si>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</si>
  <si>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</si>
  <si>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</si>
  <si>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</si>
  <si>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</si>
  <si>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</si>
  <si>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</si>
  <si>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</si>
  <si>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</si>
  <si>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</si>
  <si>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</si>
  <si>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</si>
  <si>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</si>
  <si>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</si>
  <si>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</si>
  <si>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</si>
  <si>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</si>
  <si>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</si>
  <si>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</si>
  <si>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</si>
  <si>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</si>
  <si>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</si>
  <si>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</si>
  <si>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</si>
  <si>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</si>
  <si>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</si>
  <si>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</si>
  <si>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</si>
  <si>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</si>
  <si>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</si>
  <si>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</si>
  <si>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</si>
  <si>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</si>
  <si>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</si>
  <si>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</si>
  <si>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</si>
  <si>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</si>
  <si>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</si>
  <si>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</si>
  <si>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</si>
  <si>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</si>
  <si>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</si>
  <si>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</si>
  <si>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</si>
  <si>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</si>
  <si>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</si>
  <si>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</si>
  <si>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</si>
  <si>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</si>
  <si>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</si>
  <si>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</si>
  <si>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</si>
  <si>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</si>
  <si>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</si>
  <si>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</si>
  <si>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</si>
  <si>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</si>
  <si>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</si>
  <si>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</si>
  <si>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</si>
  <si>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</si>
  <si>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</si>
  <si>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</si>
  <si>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</si>
  <si>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</si>
  <si>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</si>
  <si>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</si>
  <si>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</si>
  <si>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</si>
  <si>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</si>
  <si>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</si>
  <si>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</si>
  <si>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</si>
  <si>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</si>
  <si>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</si>
  <si>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</si>
  <si>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</si>
  <si>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</si>
  <si>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</si>
  <si>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</si>
  <si>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</si>
  <si>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</si>
  <si>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</si>
  <si>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</si>
  <si>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</si>
  <si>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</si>
  <si>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</si>
  <si>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</si>
  <si>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</si>
  <si>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</si>
  <si>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</si>
  <si>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</si>
  <si>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</si>
  <si>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</si>
  <si>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</si>
  <si>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</si>
  <si>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</si>
  <si>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</si>
  <si>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</si>
  <si>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</si>
  <si>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</si>
  <si>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</si>
  <si>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</si>
  <si>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</si>
  <si>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</si>
  <si>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</si>
  <si>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</si>
  <si>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</si>
  <si>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</si>
  <si>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</si>
  <si>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</si>
  <si>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</si>
  <si>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</si>
  <si>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</si>
  <si>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</si>
  <si>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</si>
  <si>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</si>
  <si>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</si>
  <si>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</si>
  <si>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</si>
  <si>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</si>
  <si>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</si>
  <si>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</si>
  <si>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</si>
  <si>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</si>
  <si>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</si>
  <si>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</si>
  <si>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</si>
  <si>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</si>
  <si>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</si>
  <si>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</si>
  <si>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</si>
  <si>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</si>
  <si>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</si>
  <si>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</si>
  <si>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</si>
  <si>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</si>
  <si>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</si>
  <si>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</si>
  <si>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</si>
  <si>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</si>
  <si>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</si>
  <si>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</si>
  <si>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</si>
  <si>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</si>
  <si>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</si>
  <si>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</si>
  <si>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</si>
  <si>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</si>
  <si>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</si>
  <si>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</si>
  <si>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</si>
  <si>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</si>
  <si>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</si>
  <si>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</si>
  <si>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</si>
  <si>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</si>
  <si>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</si>
  <si>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</si>
  <si>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</si>
  <si>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</si>
  <si>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</si>
  <si>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</si>
  <si>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</si>
  <si>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</si>
  <si>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</si>
  <si>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</si>
  <si>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</si>
  <si>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</si>
  <si>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</si>
  <si>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</si>
  <si>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</si>
  <si>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</si>
  <si>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</si>
  <si>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</si>
  <si>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</si>
  <si>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</si>
  <si>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</si>
  <si>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</si>
  <si>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</si>
  <si>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</si>
  <si>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</si>
  <si>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</si>
  <si>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</si>
  <si>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</si>
  <si>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</si>
  <si>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</si>
  <si>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</si>
  <si>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</si>
  <si>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</si>
  <si>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</si>
  <si>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</si>
  <si>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</si>
  <si>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</si>
  <si>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</si>
  <si>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</si>
  <si>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</si>
  <si>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</si>
  <si>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</si>
  <si>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</si>
  <si>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</si>
  <si>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</si>
  <si>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</si>
  <si>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</si>
  <si>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</si>
  <si>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</si>
  <si>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</si>
  <si>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</si>
  <si>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</si>
  <si>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</si>
  <si>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</si>
  <si>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</si>
  <si>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</si>
  <si>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</si>
  <si>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</si>
  <si>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</si>
  <si>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</si>
  <si>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</si>
  <si>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</si>
  <si>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</si>
  <si>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</si>
  <si>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</si>
  <si>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</si>
  <si>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</si>
  <si>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</si>
  <si>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</si>
  <si>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</si>
  <si>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</si>
  <si>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</si>
  <si>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</si>
  <si>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</si>
  <si>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</si>
  <si>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</si>
  <si>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</si>
  <si>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</si>
  <si>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</si>
  <si>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</si>
  <si>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</si>
  <si>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</si>
  <si>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</si>
  <si>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</si>
  <si>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</si>
  <si>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</si>
  <si>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</si>
  <si>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</si>
  <si>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</si>
  <si>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</si>
  <si>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</si>
  <si>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</si>
  <si>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</si>
  <si>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</si>
  <si>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</si>
  <si>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</si>
  <si>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</si>
  <si>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</si>
  <si>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</si>
  <si>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</si>
  <si>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</si>
  <si>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</si>
  <si>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</si>
  <si>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</si>
  <si>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</si>
  <si>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</si>
  <si>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</si>
  <si>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</si>
  <si>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</si>
  <si>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</si>
  <si>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</si>
  <si>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</si>
  <si>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</si>
  <si>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</si>
  <si>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</si>
  <si>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</si>
  <si>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</si>
  <si>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</si>
  <si>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</si>
  <si>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</si>
  <si>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</si>
  <si>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</si>
  <si>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</si>
  <si>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</si>
  <si>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</si>
  <si>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</si>
  <si>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</si>
  <si>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</si>
  <si>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</si>
  <si>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</si>
  <si>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</si>
  <si>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</si>
  <si>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</si>
  <si>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</si>
  <si>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</si>
  <si>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</si>
  <si>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</si>
  <si>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</si>
  <si>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</si>
  <si>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</si>
  <si>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</si>
  <si>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</si>
  <si>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</si>
  <si>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</si>
  <si>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</si>
  <si>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</si>
  <si>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</si>
  <si>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</si>
  <si>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</si>
  <si>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</si>
  <si>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</si>
  <si>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</si>
  <si>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</si>
  <si>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</si>
  <si>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</si>
  <si>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</si>
  <si>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</si>
  <si>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</si>
  <si>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</si>
  <si>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</si>
  <si>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</si>
  <si>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</si>
  <si>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</si>
  <si>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</si>
  <si>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</si>
  <si>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</si>
  <si>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</si>
  <si>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</si>
  <si>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</si>
  <si>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</si>
  <si>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</si>
  <si>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</si>
  <si>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</si>
  <si>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</si>
  <si>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</si>
  <si>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</si>
  <si>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</si>
  <si>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</si>
  <si>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</si>
  <si>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</si>
  <si>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</si>
  <si>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</si>
  <si>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</si>
  <si>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</si>
  <si>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</si>
  <si>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</si>
  <si>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</si>
  <si>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</si>
  <si>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</si>
  <si>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</si>
  <si>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</si>
  <si>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</si>
  <si>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</si>
  <si>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</si>
  <si>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</si>
  <si>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</si>
  <si>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</si>
  <si>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</si>
  <si>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</si>
  <si>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</si>
  <si>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</si>
  <si>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</si>
  <si>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</si>
  <si>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</si>
  <si>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</si>
  <si>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</si>
  <si>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</si>
  <si>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</si>
  <si>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</si>
  <si>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</si>
  <si>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</si>
  <si>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</si>
  <si>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</si>
  <si>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</si>
  <si>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</si>
  <si>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</si>
  <si>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</si>
  <si>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</si>
  <si>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</si>
  <si>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</si>
  <si>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</si>
  <si>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</si>
  <si>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</si>
  <si>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</si>
  <si>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</si>
  <si>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</si>
  <si>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</si>
  <si>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</si>
  <si>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</si>
  <si>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</si>
  <si>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</si>
  <si>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</si>
  <si>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</si>
  <si>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</si>
  <si>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</si>
  <si>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</si>
  <si>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</si>
  <si>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</si>
  <si>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</si>
  <si>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</si>
  <si>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</si>
  <si>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</si>
  <si>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</si>
  <si>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</si>
  <si>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</si>
  <si>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</si>
  <si>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</si>
  <si>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</si>
  <si>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</si>
  <si>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</si>
  <si>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</si>
  <si>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</si>
  <si>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</si>
  <si>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</si>
  <si>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</si>
  <si>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</si>
  <si>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</si>
  <si>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</si>
  <si>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</si>
  <si>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</si>
  <si>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</si>
  <si>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</si>
  <si>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</si>
  <si>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</si>
  <si>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</si>
  <si>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</si>
  <si>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</si>
  <si>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</si>
  <si>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</si>
  <si>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</si>
  <si>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</si>
  <si>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</si>
  <si>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</si>
  <si>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</si>
  <si>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</si>
  <si>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</si>
  <si>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</si>
  <si>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</si>
  <si>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</si>
  <si>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</si>
  <si>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</si>
  <si>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</si>
  <si>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</si>
  <si>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</si>
  <si>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</si>
  <si>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</si>
  <si>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</si>
  <si>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</si>
  <si>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</si>
  <si>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</si>
  <si>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</si>
  <si>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</si>
  <si>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</si>
  <si>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</si>
  <si>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</si>
  <si>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</si>
  <si>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</si>
  <si>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</si>
  <si>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</si>
  <si>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</si>
  <si>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</si>
  <si>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</si>
  <si>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</si>
  <si>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</si>
  <si>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</si>
  <si>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</si>
  <si>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</si>
  <si>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</si>
  <si>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</si>
  <si>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</si>
  <si>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</si>
  <si>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</si>
  <si>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</si>
  <si>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</si>
  <si>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</si>
  <si>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</si>
  <si>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</si>
  <si>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</si>
  <si>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</si>
  <si>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</si>
  <si>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</si>
  <si>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</si>
  <si>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</si>
  <si>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</si>
  <si>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</si>
  <si>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</si>
  <si>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</si>
  <si>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</si>
  <si>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</si>
  <si>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</si>
  <si>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</si>
  <si>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</si>
  <si>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</si>
  <si>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</si>
  <si>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</si>
  <si>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</si>
  <si>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</si>
  <si>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</si>
  <si>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</si>
  <si>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</si>
  <si>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</si>
  <si>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</si>
  <si>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</si>
  <si>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</si>
  <si>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</si>
  <si>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</si>
  <si>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</si>
  <si>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</si>
  <si>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</si>
  <si>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</si>
  <si>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</si>
  <si>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</si>
  <si>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</si>
  <si>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</si>
  <si>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</si>
  <si>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</si>
  <si>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</si>
  <si>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</si>
  <si>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</si>
  <si>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</si>
  <si>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</si>
  <si>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</si>
  <si>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</si>
  <si>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</si>
  <si>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</si>
  <si>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</si>
  <si>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</si>
  <si>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</si>
  <si>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</si>
  <si>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</si>
  <si>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</si>
  <si>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</si>
  <si>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</si>
  <si>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</si>
  <si>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</si>
  <si>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</si>
  <si>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</si>
  <si>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</si>
  <si>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</si>
  <si>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</si>
  <si>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</si>
  <si>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</si>
  <si>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</si>
  <si>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</si>
  <si>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</si>
  <si>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</si>
  <si>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</si>
  <si>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</si>
  <si>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</si>
  <si>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</si>
  <si>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</si>
  <si>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</si>
  <si>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</si>
  <si>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</si>
  <si>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</si>
  <si>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</si>
  <si>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</si>
  <si>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</si>
  <si>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</si>
  <si>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</si>
  <si>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</si>
  <si>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</si>
  <si>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</si>
  <si>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</si>
  <si>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</si>
  <si>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</si>
  <si>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</si>
  <si>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</si>
  <si>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</si>
  <si>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</si>
  <si>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</si>
  <si>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</si>
  <si>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</si>
  <si>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</si>
  <si>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</si>
  <si>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</si>
  <si>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</si>
  <si>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</si>
  <si>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</si>
  <si>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</si>
  <si>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</si>
  <si>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</si>
  <si>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</si>
  <si>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</si>
  <si>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</si>
  <si>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</si>
  <si>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</si>
  <si>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</si>
  <si>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</si>
  <si>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</si>
  <si>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</si>
  <si>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</si>
  <si>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</si>
  <si>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</si>
  <si>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</si>
  <si>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</si>
  <si>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</si>
  <si>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</si>
  <si>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</si>
  <si>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</si>
  <si>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</si>
  <si>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</si>
  <si>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</si>
  <si>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</si>
  <si>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</si>
  <si>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</si>
  <si>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</si>
  <si>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</si>
  <si>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</si>
  <si>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</si>
  <si>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</si>
  <si>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</si>
  <si>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</si>
  <si>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</si>
  <si>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</si>
  <si>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</si>
  <si>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</si>
  <si>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</si>
  <si>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</si>
  <si>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</si>
  <si>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</si>
  <si>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</si>
  <si>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</si>
  <si>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</si>
  <si>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</si>
  <si>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</si>
  <si>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</si>
  <si>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</si>
  <si>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</si>
  <si>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</si>
  <si>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</si>
  <si>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</si>
  <si>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</si>
  <si>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</si>
  <si>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</si>
  <si>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</si>
  <si>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</si>
  <si>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</si>
  <si>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</si>
  <si>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</si>
  <si>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</si>
  <si>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</si>
  <si>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</si>
  <si>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</si>
  <si>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</si>
  <si>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</si>
  <si>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</si>
  <si>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</si>
  <si>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</si>
  <si>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</si>
  <si>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</si>
  <si>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</si>
  <si>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</si>
  <si>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</si>
  <si>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</si>
  <si>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</si>
  <si>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</si>
  <si>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</si>
  <si>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</si>
  <si>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</si>
  <si>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</si>
  <si>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</si>
  <si>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</si>
  <si>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</si>
  <si>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</si>
  <si>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</si>
  <si>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</si>
  <si>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</si>
  <si>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</si>
  <si>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</si>
  <si>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</si>
  <si>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</si>
  <si>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</si>
  <si>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</si>
  <si>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</si>
  <si>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</si>
  <si>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</si>
  <si>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</si>
  <si>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</si>
  <si>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</si>
  <si>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</si>
  <si>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</si>
  <si>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</si>
  <si>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</si>
  <si>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</si>
  <si>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</si>
  <si>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</si>
  <si>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</si>
  <si>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</si>
  <si>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</si>
  <si>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</si>
  <si>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</si>
  <si>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</si>
  <si>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</si>
  <si>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</si>
  <si>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</si>
  <si>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</si>
  <si>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</si>
  <si>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</si>
  <si>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</si>
  <si>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</si>
  <si>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</si>
  <si>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</si>
  <si>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</si>
  <si>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</si>
  <si>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</si>
  <si>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</si>
  <si>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</si>
  <si>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</si>
  <si>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</si>
  <si>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</si>
  <si>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</si>
  <si>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</si>
  <si>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</si>
  <si>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</si>
  <si>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</si>
  <si>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</si>
  <si>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</si>
  <si>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</si>
  <si>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</si>
  <si>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</si>
  <si>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</si>
  <si>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</si>
  <si>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</si>
  <si>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</si>
  <si>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</si>
  <si>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</si>
  <si>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</si>
  <si>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</si>
  <si>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</si>
  <si>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</si>
  <si>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</si>
  <si>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</si>
  <si>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</si>
  <si>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</si>
  <si>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</si>
  <si>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</si>
  <si>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</si>
  <si>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</si>
  <si>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</si>
  <si>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</si>
  <si>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</si>
  <si>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</si>
  <si>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</si>
  <si>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</si>
  <si>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</si>
  <si>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</si>
  <si>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</si>
  <si>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</si>
  <si>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</si>
  <si>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</si>
  <si>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</si>
  <si>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</si>
  <si>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</si>
  <si>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</si>
  <si>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</si>
  <si>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</si>
  <si>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</si>
  <si>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</si>
  <si>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</si>
  <si>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</si>
  <si>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</si>
  <si>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</si>
  <si>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</si>
  <si>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</si>
  <si>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</si>
  <si>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</si>
  <si>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</si>
  <si>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</si>
  <si>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</si>
  <si>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</si>
  <si>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</si>
  <si>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</si>
  <si>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</si>
  <si>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</si>
  <si>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</si>
  <si>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</si>
  <si>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</si>
  <si>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</si>
  <si>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</si>
  <si>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</si>
  <si>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</si>
  <si>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</si>
  <si>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</si>
  <si>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</si>
  <si>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</si>
  <si>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</si>
  <si>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</si>
  <si>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</si>
  <si>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</si>
  <si>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</si>
  <si>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</si>
  <si>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</si>
  <si>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</si>
  <si>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</si>
  <si>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</si>
  <si>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</si>
  <si>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</si>
  <si>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</si>
  <si>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</si>
  <si>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</si>
  <si>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</si>
  <si>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</si>
  <si>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</si>
  <si>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</si>
  <si>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</si>
  <si>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</si>
  <si>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</si>
  <si>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</si>
  <si>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</si>
  <si>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</si>
  <si>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</si>
  <si>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</si>
  <si>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</si>
  <si>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</si>
  <si>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</si>
  <si>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</si>
  <si>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</si>
  <si>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</si>
  <si>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</si>
  <si>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</si>
  <si>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</si>
  <si>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</si>
  <si>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</si>
  <si>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</si>
  <si>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</si>
  <si>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</si>
  <si>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</si>
  <si>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</si>
  <si>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</si>
  <si>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</si>
  <si>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</si>
  <si>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</si>
  <si>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</si>
  <si>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</si>
  <si>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</si>
  <si>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</si>
  <si>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</si>
  <si>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</si>
  <si>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</si>
  <si>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</si>
  <si>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</si>
  <si>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</si>
  <si>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</si>
  <si>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</si>
  <si>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</si>
  <si>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</si>
  <si>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</si>
  <si>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</si>
  <si>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</si>
  <si>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</si>
  <si>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</si>
  <si>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</si>
  <si>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</si>
  <si>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</si>
  <si>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</si>
  <si>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</si>
  <si>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</si>
  <si>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</si>
  <si>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</si>
  <si>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</si>
  <si>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</si>
  <si>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</si>
  <si>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</si>
  <si>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</si>
  <si>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</si>
  <si>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</si>
  <si>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</si>
  <si>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</si>
  <si>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</si>
  <si>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</si>
  <si>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</si>
  <si>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</si>
  <si>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</si>
  <si>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</si>
  <si>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</si>
  <si>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</si>
  <si>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</si>
  <si>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</si>
  <si>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</si>
  <si>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</si>
  <si>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</si>
  <si>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</si>
  <si>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</si>
  <si>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</si>
  <si>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</si>
  <si>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</si>
  <si>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</si>
  <si>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</si>
  <si>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</si>
  <si>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</si>
  <si>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</si>
  <si>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</si>
  <si>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</si>
  <si>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</si>
  <si>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</si>
  <si>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</si>
  <si>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</si>
  <si>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</si>
  <si>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</si>
  <si>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</si>
  <si>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</si>
  <si>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</si>
  <si>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</si>
  <si>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</si>
  <si>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</si>
  <si>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</si>
  <si>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</si>
  <si>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</si>
  <si>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</si>
  <si>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</si>
  <si>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</si>
  <si>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</si>
  <si>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</si>
  <si>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</si>
  <si>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</si>
  <si>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</si>
  <si>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</si>
  <si>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</si>
  <si>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</si>
  <si>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</si>
  <si>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</si>
  <si>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</si>
  <si>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</si>
  <si>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</si>
  <si>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</si>
  <si>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</si>
  <si>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</si>
  <si>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</si>
  <si>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</si>
  <si>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</si>
  <si>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</si>
  <si>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</si>
  <si>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</si>
  <si>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</si>
  <si>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</si>
  <si>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</si>
  <si>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</si>
  <si>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</si>
  <si>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</si>
  <si>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</si>
  <si>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</si>
  <si>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</si>
  <si>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</si>
  <si>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</si>
  <si>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</si>
  <si>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</si>
  <si>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</si>
  <si>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</si>
  <si>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</si>
  <si>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</si>
  <si>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</si>
  <si>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</si>
  <si>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</si>
  <si>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</si>
  <si>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</si>
  <si>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</si>
  <si>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</si>
  <si>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</si>
  <si>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</si>
  <si>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</si>
  <si>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</si>
  <si>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</si>
  <si>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</si>
  <si>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</si>
  <si>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</si>
  <si>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</si>
  <si>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</si>
  <si>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</si>
  <si>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</si>
  <si>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</si>
  <si>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</si>
  <si>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</si>
  <si>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</si>
  <si>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</si>
  <si>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</si>
  <si>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</si>
  <si>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</si>
  <si>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</si>
  <si>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</si>
  <si>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</si>
  <si>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</si>
  <si>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</si>
  <si>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</si>
  <si>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</si>
  <si>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</si>
  <si>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</si>
  <si>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</si>
  <si>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</si>
  <si>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</si>
  <si>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</si>
  <si>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</si>
  <si>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</si>
  <si>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</si>
  <si>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</si>
  <si>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</si>
  <si>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</si>
  <si>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</si>
  <si>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</si>
  <si>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</si>
  <si>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</si>
  <si>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</si>
  <si>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</si>
  <si>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</si>
  <si>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</si>
  <si>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</si>
  <si>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</si>
  <si>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</si>
  <si>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</si>
  <si>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</si>
  <si>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</si>
  <si>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</si>
  <si>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</si>
  <si>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</si>
  <si>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</si>
  <si>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</si>
  <si>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</si>
  <si>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</si>
  <si>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</si>
  <si>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</si>
  <si>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</si>
  <si>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</si>
  <si>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</si>
  <si>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</si>
  <si>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</si>
  <si>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</si>
  <si>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</si>
  <si>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</si>
  <si>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</si>
  <si>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</si>
  <si>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</si>
  <si>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</si>
  <si>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</si>
  <si>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</si>
  <si>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</si>
  <si>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</si>
  <si>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</si>
  <si>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</si>
  <si>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</si>
  <si>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</si>
  <si>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</si>
  <si>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</si>
  <si>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</si>
  <si>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</si>
  <si>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</si>
  <si>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</si>
  <si>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</si>
  <si>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</si>
  <si>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</si>
  <si>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</si>
  <si>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</si>
  <si>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</si>
  <si>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</si>
  <si>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</si>
  <si>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</si>
  <si>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</si>
  <si>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</si>
  <si>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</si>
  <si>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</si>
  <si>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</si>
  <si>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</si>
  <si>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</si>
  <si>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</si>
  <si>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</si>
  <si>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</si>
  <si>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</si>
  <si>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</si>
  <si>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</si>
  <si>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</si>
  <si>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</si>
  <si>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</si>
  <si>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</si>
  <si>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</si>
  <si>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</si>
  <si>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</si>
  <si>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</si>
  <si>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</si>
  <si>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</si>
  <si>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</si>
  <si>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</si>
  <si>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</si>
  <si>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</si>
  <si>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</si>
  <si>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</si>
  <si>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</si>
  <si>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</si>
  <si>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</si>
  <si>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</si>
  <si>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</si>
  <si>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</si>
  <si>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</si>
  <si>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</si>
  <si>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</si>
  <si>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</si>
  <si>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</si>
  <si>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</si>
  <si>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</si>
  <si>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</si>
  <si>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</si>
  <si>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</si>
  <si>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</si>
  <si>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</si>
  <si>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</si>
  <si>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</si>
  <si>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</si>
  <si>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</si>
  <si>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</si>
  <si>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</si>
  <si>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</si>
  <si>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</si>
  <si>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</si>
  <si>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</si>
  <si>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</si>
  <si>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</si>
  <si>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</si>
  <si>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</si>
  <si>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</si>
  <si>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</si>
  <si>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</si>
  <si>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</si>
  <si>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</si>
  <si>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</si>
  <si>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</si>
  <si>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</si>
  <si>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</si>
  <si>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</si>
  <si>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</si>
  <si>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</si>
  <si>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</si>
  <si>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</si>
  <si>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</si>
  <si>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</si>
  <si>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</si>
  <si>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</si>
  <si>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</si>
  <si>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</si>
  <si>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</si>
  <si>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</si>
  <si>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</si>
  <si>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</si>
  <si>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</si>
  <si>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</si>
  <si>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</si>
  <si>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</si>
  <si>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</si>
  <si>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</si>
  <si>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</si>
  <si>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</si>
  <si>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</si>
  <si>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</si>
  <si>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</si>
  <si>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</si>
  <si>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</si>
  <si>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</si>
  <si>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</si>
  <si>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</si>
  <si>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</si>
  <si>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</si>
  <si>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</si>
  <si>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</si>
  <si>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</si>
  <si>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</si>
  <si>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</si>
  <si>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</si>
  <si>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</si>
  <si>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</si>
  <si>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</si>
  <si>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</si>
  <si>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</si>
  <si>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</si>
  <si>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</si>
  <si>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</si>
  <si>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</si>
  <si>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</si>
  <si>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</si>
  <si>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</si>
  <si>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</si>
  <si>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</si>
  <si>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</si>
  <si>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</si>
  <si>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</si>
  <si>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</si>
  <si>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</si>
  <si>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</si>
  <si>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</si>
  <si>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</si>
  <si>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</si>
  <si>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</si>
  <si>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</si>
  <si>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</si>
  <si>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</si>
  <si>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</si>
  <si>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</si>
  <si>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</si>
  <si>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</si>
  <si>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</si>
  <si>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</si>
  <si>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</si>
  <si>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</si>
  <si>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</si>
  <si>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</si>
  <si>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</si>
  <si>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</si>
  <si>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</si>
  <si>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</si>
  <si>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</si>
  <si>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</si>
  <si>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</si>
  <si>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</si>
  <si>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</si>
  <si>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</si>
  <si>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</si>
  <si>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</si>
  <si>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</si>
  <si>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</si>
  <si>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</si>
  <si>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</si>
  <si>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</si>
  <si>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</si>
  <si>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</si>
  <si>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</si>
  <si>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</si>
  <si>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</si>
  <si>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</si>
  <si>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</si>
  <si>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</si>
  <si>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</si>
  <si>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</si>
  <si>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</si>
  <si>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</si>
  <si>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</si>
  <si>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</si>
  <si>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</si>
  <si>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</si>
  <si>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</si>
  <si>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</si>
  <si>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</si>
  <si>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</si>
  <si>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</si>
  <si>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</si>
  <si>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</si>
  <si>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</si>
  <si>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</si>
  <si>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</si>
  <si>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</si>
  <si>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</si>
  <si>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</si>
  <si>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</si>
  <si>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</si>
  <si>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</si>
  <si>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</si>
  <si>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</si>
  <si>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</si>
  <si>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</si>
  <si>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</si>
  <si>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</si>
  <si>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</si>
  <si>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</si>
  <si>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</si>
  <si>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</si>
  <si>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</si>
  <si>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</si>
  <si>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</si>
  <si>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</si>
  <si>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</si>
  <si>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</si>
  <si>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</si>
  <si>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</si>
  <si>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</si>
  <si>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</si>
  <si>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</si>
  <si>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</si>
  <si>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</si>
  <si>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</si>
  <si>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</si>
  <si>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</si>
  <si>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</si>
  <si>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</si>
  <si>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</si>
  <si>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</si>
  <si>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</si>
  <si>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</si>
  <si>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</si>
  <si>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</si>
  <si>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</si>
  <si>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</si>
  <si>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</si>
  <si>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</si>
  <si>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</si>
  <si>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</si>
  <si>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</si>
  <si>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</si>
  <si>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</si>
  <si>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</si>
  <si>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</si>
  <si>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</si>
  <si>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</si>
  <si>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</si>
  <si>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</si>
  <si>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</si>
  <si>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</si>
  <si>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</si>
  <si>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</si>
  <si>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</si>
  <si>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</si>
  <si>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</si>
  <si>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</si>
  <si>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</si>
  <si>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</si>
  <si>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</si>
  <si>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</si>
  <si>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</si>
  <si>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</si>
  <si>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</si>
  <si>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</si>
  <si>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</si>
  <si>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</si>
  <si>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</si>
  <si>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</si>
  <si>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</si>
  <si>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</si>
  <si>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</si>
  <si>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</si>
  <si>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</si>
  <si>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</si>
  <si>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</si>
  <si>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</si>
  <si>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</si>
  <si>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</si>
  <si>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</si>
  <si>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</si>
  <si>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</si>
  <si>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</si>
  <si>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</si>
  <si>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</si>
  <si>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</si>
  <si>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</si>
  <si>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</si>
  <si>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</si>
  <si>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</si>
  <si>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</si>
  <si>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</si>
  <si>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</si>
  <si>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</si>
  <si>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</si>
  <si>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</si>
  <si>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</si>
  <si>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</si>
  <si>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</si>
  <si>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</si>
  <si>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</si>
  <si>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</si>
  <si>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</si>
  <si>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</si>
  <si>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</si>
  <si>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</si>
  <si>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</si>
  <si>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较差</t>
  </si>
  <si>
    <t>项目局部</t>
  </si>
  <si>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</si>
  <si>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</si>
  <si>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</si>
  <si>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</si>
  <si>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</si>
  <si>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</si>
  <si>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</si>
  <si>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</si>
  <si>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</si>
  <si>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</si>
  <si>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</si>
  <si>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</si>
  <si>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</si>
  <si>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</si>
  <si>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</si>
  <si>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较好</t>
    <phoneticPr fontId="3" type="noConversion"/>
  </si>
  <si>
    <t>较小</t>
  </si>
  <si>
    <t>独立商业</t>
  </si>
  <si>
    <t>独立商业</t>
    <phoneticPr fontId="3" type="noConversion"/>
  </si>
  <si>
    <t>配套商业</t>
    <phoneticPr fontId="30"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</si>
  <si>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</si>
  <si>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</si>
  <si>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</si>
  <si>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</si>
  <si>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</si>
  <si>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</si>
  <si>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</si>
  <si>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</si>
  <si>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</si>
  <si>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</si>
  <si>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</si>
  <si>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</si>
  <si>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</si>
  <si>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</si>
  <si>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</si>
  <si>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</si>
  <si>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</si>
  <si>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</si>
  <si>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</si>
  <si>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</si>
  <si>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</si>
  <si>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</si>
  <si>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</si>
  <si>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</si>
  <si>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</si>
  <si>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</si>
  <si>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</si>
  <si>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</si>
  <si>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</si>
  <si>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</si>
  <si>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</si>
  <si>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</si>
  <si>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</si>
  <si>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</si>
  <si>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</si>
  <si>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</si>
  <si>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</si>
  <si>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</si>
  <si>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</si>
  <si>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</si>
  <si>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</si>
  <si>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</si>
  <si>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</si>
  <si>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</si>
  <si>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</si>
  <si>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</si>
  <si>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</si>
  <si>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</si>
  <si>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</si>
  <si>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</si>
  <si>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</si>
  <si>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</si>
  <si>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</si>
  <si>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</si>
  <si>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</si>
  <si>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</si>
  <si>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</si>
  <si>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</si>
  <si>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</si>
  <si>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</si>
  <si>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</si>
  <si>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</si>
  <si>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</si>
  <si>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</si>
  <si>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</si>
  <si>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</si>
  <si>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</si>
  <si>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</si>
  <si>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</si>
  <si>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</si>
  <si>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</si>
  <si>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</si>
  <si>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</si>
  <si>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</si>
  <si>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</si>
  <si>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</si>
  <si>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</si>
  <si>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</si>
  <si>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</si>
  <si>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</si>
  <si>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</si>
  <si>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</si>
  <si>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</si>
  <si>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</si>
  <si>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</si>
  <si>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</si>
  <si>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</si>
  <si>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</si>
  <si>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</si>
  <si>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</si>
  <si>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</si>
  <si>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</si>
  <si>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</si>
  <si>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</si>
  <si>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</si>
  <si>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</si>
  <si>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</si>
  <si>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</si>
  <si>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</si>
  <si>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</si>
  <si>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</si>
  <si>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</si>
  <si>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</si>
  <si>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</si>
  <si>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</si>
  <si>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</si>
  <si>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</si>
  <si>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</si>
  <si>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</si>
  <si>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</si>
  <si>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</si>
  <si>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</si>
  <si>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</si>
  <si>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</si>
  <si>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</si>
  <si>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</si>
  <si>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</si>
  <si>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</si>
  <si>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</si>
  <si>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</si>
  <si>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</si>
  <si>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</si>
  <si>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</si>
  <si>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</si>
  <si>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</si>
  <si>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</si>
  <si>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</si>
  <si>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</si>
  <si>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</si>
  <si>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</si>
  <si>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</si>
  <si>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</si>
  <si>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</si>
  <si>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</si>
  <si>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</si>
  <si>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</si>
  <si>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</si>
  <si>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</si>
  <si>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</si>
  <si>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</si>
  <si>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</si>
  <si>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</si>
  <si>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</si>
  <si>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</si>
  <si>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</si>
  <si>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</si>
  <si>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</si>
  <si>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</si>
  <si>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</si>
  <si>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</si>
  <si>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</si>
  <si>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</si>
  <si>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</si>
  <si>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</si>
  <si>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</si>
  <si>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</si>
  <si>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</si>
  <si>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</si>
  <si>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</si>
  <si>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</si>
  <si>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</si>
  <si>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</si>
  <si>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</si>
  <si>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</si>
  <si>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</si>
  <si>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</si>
  <si>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</si>
  <si>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</si>
  <si>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</si>
  <si>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</si>
  <si>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</si>
  <si>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</si>
  <si>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</si>
  <si>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</si>
  <si>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</si>
  <si>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</si>
  <si>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</si>
  <si>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</si>
  <si>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</si>
  <si>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</si>
  <si>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</si>
  <si>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</si>
  <si>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</si>
  <si>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</si>
  <si>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</si>
  <si>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</si>
  <si>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</si>
  <si>
    <t xml:space="preserve">   </t>
    <phoneticPr fontId="24" type="noConversion"/>
  </si>
  <si>
    <t>北清路临街商铺</t>
    <phoneticPr fontId="3" type="noConversion"/>
  </si>
  <si>
    <t>温哥华森林底商</t>
    <phoneticPr fontId="3" type="noConversion"/>
  </si>
  <si>
    <t>华润未来城市底商</t>
    <phoneticPr fontId="3" type="noConversion"/>
  </si>
  <si>
    <t>昌平区英才南二街15号院6号楼11层1101等[19]套</t>
    <phoneticPr fontId="134" type="noConversion"/>
  </si>
  <si>
    <t>未来国际中心</t>
    <phoneticPr fontId="3" type="noConversion"/>
  </si>
  <si>
    <t>未来中心</t>
    <phoneticPr fontId="3" type="noConversion"/>
  </si>
  <si>
    <t>保利未来大都汇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</si>
</sst>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159" fillId="0" borderId="0" xfId="12" applyNumberFormat="1" applyFill="1"/>
    <xf numFmtId="0" fontId="272" fillId="0" borderId="1" xfId="12" applyFont="1" applyFill="1" applyBorder="1" applyAlignment="1">
      <alignment horizontal="center" vertical="center" wrapText="1"/>
    </xf>
    <xf numFmtId="0" fontId="264" fillId="0" borderId="176" xfId="0" applyFont="1" applyFill="1" applyBorder="1" applyAlignment="1">
      <alignment horizontal="justify" vertical="center"/>
    </xf>
    <xf numFmtId="0" fontId="264" fillId="0" borderId="177" xfId="0" applyFont="1" applyFill="1" applyBorder="1" applyAlignment="1">
      <alignment vertical="center"/>
    </xf>
    <xf numFmtId="0" fontId="264" fillId="0" borderId="177" xfId="0" applyFont="1" applyFill="1" applyBorder="1" applyAlignment="1">
      <alignment horizontal="justify" vertical="center"/>
    </xf>
    <xf numFmtId="0" fontId="266" fillId="0" borderId="183" xfId="0" applyFont="1" applyFill="1" applyBorder="1" applyAlignment="1">
      <alignment horizontal="justify" vertical="center"/>
    </xf>
    <xf numFmtId="0" fontId="266" fillId="5" borderId="178" xfId="0" applyFont="1" applyFill="1" applyBorder="1" applyAlignment="1">
      <alignment horizontal="justify" vertical="center"/>
    </xf>
    <xf numFmtId="0" fontId="264" fillId="5" borderId="179" xfId="0" applyFont="1" applyFill="1" applyBorder="1" applyAlignment="1">
      <alignment vertical="center"/>
    </xf>
    <xf numFmtId="179" fontId="264" fillId="5" borderId="179" xfId="0" applyNumberFormat="1" applyFont="1" applyFill="1" applyBorder="1" applyAlignment="1">
      <alignment vertical="center"/>
    </xf>
    <xf numFmtId="179" fontId="19" fillId="8" borderId="1" xfId="12" applyNumberFormat="1" applyFont="1" applyFill="1" applyBorder="1" applyAlignment="1" applyProtection="1">
      <alignment horizontal="center" vertical="center" shrinkToFit="1"/>
    </xf>
    <xf numFmtId="0" fontId="19" fillId="8" borderId="1" xfId="12" applyNumberFormat="1" applyFont="1" applyFill="1" applyBorder="1" applyAlignment="1" applyProtection="1">
      <alignment horizontal="center" vertical="center" shrinkToFit="1"/>
    </xf>
    <xf numFmtId="2" fontId="77" fillId="8" borderId="1" xfId="12" applyNumberFormat="1" applyFont="1" applyFill="1" applyBorder="1" applyAlignment="1">
      <alignment horizontal="center" vertical="center"/>
    </xf>
    <xf numFmtId="0" fontId="47" fillId="9" borderId="1" xfId="0" applyFont="1" applyFill="1" applyBorder="1" applyAlignment="1" applyProtection="1">
      <alignment horizontal="left" vertical="center"/>
      <protection locked="0"/>
    </xf>
    <xf numFmtId="197" fontId="19" fillId="8" borderId="1" xfId="12" applyNumberFormat="1" applyFont="1" applyFill="1" applyBorder="1" applyAlignment="1" applyProtection="1">
      <alignment horizontal="center" vertical="center" shrinkToFit="1"/>
    </xf>
    <xf numFmtId="2" fontId="19" fillId="8" borderId="1" xfId="12" applyNumberFormat="1" applyFont="1" applyFill="1" applyBorder="1" applyAlignment="1" applyProtection="1">
      <alignment horizontal="center" vertical="center" shrinkToFit="1"/>
    </xf>
    <xf numFmtId="2" fontId="159" fillId="0" borderId="0" xfId="12" applyNumberFormat="1" applyFill="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0" fontId="264" fillId="0" borderId="180" xfId="0" applyFont="1" applyFill="1" applyBorder="1" applyAlignment="1">
      <alignment horizontal="justify" vertical="center"/>
    </xf>
    <xf numFmtId="0" fontId="264" fillId="0" borderId="181" xfId="0" applyFont="1" applyFill="1" applyBorder="1" applyAlignment="1">
      <alignment horizontal="justify" vertical="center"/>
    </xf>
    <xf numFmtId="0" fontId="264" fillId="0" borderId="182" xfId="0" applyFont="1" applyFill="1" applyBorder="1" applyAlignment="1">
      <alignment horizontal="justify" vertical="center"/>
    </xf>
    <xf numFmtId="0" fontId="270" fillId="0" borderId="1" xfId="12" applyNumberFormat="1" applyFont="1" applyFill="1" applyBorder="1" applyAlignment="1">
      <alignment horizontal="center" vertical="center"/>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2" xfId="12"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72" fillId="0" borderId="2" xfId="12" applyNumberFormat="1" applyFont="1" applyFill="1" applyBorder="1" applyAlignment="1">
      <alignment horizontal="center" vertical="center" wrapText="1"/>
    </xf>
    <xf numFmtId="0" fontId="272" fillId="16" borderId="15" xfId="0" applyFont="1" applyFill="1" applyBorder="1" applyAlignment="1">
      <alignment horizontal="center" vertical="center" wrapText="1"/>
    </xf>
    <xf numFmtId="0" fontId="272" fillId="16" borderId="1" xfId="0" applyFont="1" applyFill="1" applyBorder="1" applyAlignment="1">
      <alignment horizontal="center" vertical="center" wrapText="1"/>
    </xf>
    <xf numFmtId="0" fontId="163" fillId="16"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176" fontId="77" fillId="16" borderId="1" xfId="19" applyNumberFormat="1"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272" fillId="0" borderId="1"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2" fillId="0" borderId="13" xfId="0" applyFont="1" applyFill="1" applyBorder="1" applyAlignment="1">
      <alignment horizontal="center" vertical="center" wrapText="1"/>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xf numFmtId="1" fontId="266" fillId="5" borderId="179" xfId="0" applyNumberFormat="1" applyFont="1" applyFill="1" applyBorder="1" applyAlignment="1">
      <alignment horizontal="justify"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简单装修</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一般规则</v>
          </cell>
          <cell r="F118" t="str">
            <v>较不规则</v>
          </cell>
          <cell r="G118" t="str">
            <v>不规则</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1"/>
      <sheetData sheetId="22"/>
      <sheetData sheetId="23"/>
      <sheetData sheetId="24">
        <row r="55">
          <cell r="A55" t="str">
            <v>交易情况</v>
          </cell>
          <cell r="B55">
            <v>0</v>
          </cell>
          <cell r="C55" t="str">
            <v>正常</v>
          </cell>
          <cell r="D55" t="str">
            <v>报价</v>
          </cell>
          <cell r="E55">
            <v>0</v>
          </cell>
          <cell r="F55">
            <v>0</v>
          </cell>
          <cell r="G55">
            <v>0</v>
          </cell>
          <cell r="H55">
            <v>0</v>
          </cell>
          <cell r="I55">
            <v>0</v>
          </cell>
          <cell r="J55">
            <v>0</v>
          </cell>
          <cell r="K55">
            <v>0</v>
          </cell>
          <cell r="L55">
            <v>0</v>
          </cell>
          <cell r="M55">
            <v>0</v>
          </cell>
        </row>
        <row r="57">
          <cell r="B57" t="str">
            <v>用途</v>
          </cell>
          <cell r="C57" t="str">
            <v>工业</v>
          </cell>
          <cell r="D57">
            <v>0</v>
          </cell>
          <cell r="E57">
            <v>0</v>
          </cell>
          <cell r="F57">
            <v>0</v>
          </cell>
          <cell r="G57">
            <v>0</v>
          </cell>
          <cell r="H57">
            <v>0</v>
          </cell>
          <cell r="I57">
            <v>0</v>
          </cell>
          <cell r="J57">
            <v>0</v>
          </cell>
          <cell r="K57">
            <v>0</v>
          </cell>
          <cell r="L57">
            <v>0</v>
          </cell>
          <cell r="M57">
            <v>0</v>
          </cell>
        </row>
        <row r="88">
          <cell r="B88" t="str">
            <v>建筑类型</v>
          </cell>
          <cell r="C88" t="str">
            <v>工业立项写字楼</v>
          </cell>
          <cell r="D88">
            <v>0</v>
          </cell>
          <cell r="E88">
            <v>0</v>
          </cell>
          <cell r="F88">
            <v>0</v>
          </cell>
          <cell r="G88">
            <v>0</v>
          </cell>
          <cell r="H88">
            <v>0</v>
          </cell>
          <cell r="I88">
            <v>0</v>
          </cell>
          <cell r="J88">
            <v>0</v>
          </cell>
          <cell r="K88">
            <v>0</v>
          </cell>
          <cell r="L88">
            <v>0</v>
          </cell>
          <cell r="M88">
            <v>0</v>
          </cell>
        </row>
        <row r="93">
          <cell r="B93" t="str">
            <v>建筑结构</v>
          </cell>
          <cell r="C93" t="str">
            <v>钢混</v>
          </cell>
          <cell r="D93" t="str">
            <v>混合</v>
          </cell>
          <cell r="E93">
            <v>0</v>
          </cell>
          <cell r="F93">
            <v>0</v>
          </cell>
          <cell r="G93">
            <v>0</v>
          </cell>
          <cell r="H93">
            <v>0</v>
          </cell>
          <cell r="I93">
            <v>0</v>
          </cell>
          <cell r="J93">
            <v>0</v>
          </cell>
          <cell r="K93">
            <v>0</v>
          </cell>
          <cell r="L93">
            <v>0</v>
          </cell>
          <cell r="M93">
            <v>0</v>
          </cell>
        </row>
        <row r="95">
          <cell r="B95" t="str">
            <v>公共部分装修</v>
          </cell>
          <cell r="C95" t="str">
            <v>精装修</v>
          </cell>
          <cell r="D95" t="str">
            <v>普装</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v>0</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普装</v>
          </cell>
          <cell r="E104" t="str">
            <v>简装</v>
          </cell>
          <cell r="F104" t="str">
            <v>毛坯</v>
          </cell>
          <cell r="G104">
            <v>0</v>
          </cell>
          <cell r="H104">
            <v>0</v>
          </cell>
          <cell r="I104">
            <v>0</v>
          </cell>
          <cell r="J104">
            <v>0</v>
          </cell>
          <cell r="K104">
            <v>0</v>
          </cell>
          <cell r="L104">
            <v>0</v>
          </cell>
          <cell r="M104">
            <v>0</v>
          </cell>
        </row>
      </sheetData>
      <sheetData sheetId="25"/>
      <sheetData sheetId="26"/>
      <sheetData sheetId="27"/>
      <sheetData sheetId="28">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独立商业</v>
          </cell>
          <cell r="D100" t="str">
            <v>配套商业</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简单装修</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不可餐饮</v>
          </cell>
          <cell r="D114">
            <v>0</v>
          </cell>
          <cell r="E114">
            <v>0</v>
          </cell>
          <cell r="F114">
            <v>0</v>
          </cell>
          <cell r="G114">
            <v>0</v>
          </cell>
          <cell r="H114">
            <v>0</v>
          </cell>
          <cell r="I114">
            <v>0</v>
          </cell>
          <cell r="J114">
            <v>0</v>
          </cell>
          <cell r="K114">
            <v>0</v>
          </cell>
          <cell r="L114">
            <v>0</v>
          </cell>
          <cell r="M114">
            <v>0</v>
          </cell>
        </row>
        <row r="116">
          <cell r="B116" t="str">
            <v>层高</v>
          </cell>
          <cell r="C116" t="str">
            <v>标准</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9"/>
      <sheetData sheetId="30">
        <row r="5">
          <cell r="A5">
            <v>0</v>
          </cell>
          <cell r="B5" t="str">
            <v>临街状况</v>
          </cell>
          <cell r="C5" t="str">
            <v>街角地</v>
          </cell>
          <cell r="D5" t="str">
            <v>多面临街</v>
          </cell>
          <cell r="E5" t="str">
            <v>双面临街</v>
          </cell>
          <cell r="F5" t="str">
            <v>单面临街</v>
          </cell>
          <cell r="G5" t="str">
            <v>不临街</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可视性</v>
          </cell>
          <cell r="C7" t="str">
            <v>好</v>
          </cell>
          <cell r="D7" t="str">
            <v>较好</v>
          </cell>
          <cell r="E7" t="str">
            <v>一般</v>
          </cell>
          <cell r="F7" t="str">
            <v>较差</v>
          </cell>
          <cell r="G7" t="str">
            <v>差</v>
          </cell>
          <cell r="H7">
            <v>0</v>
          </cell>
          <cell r="I7">
            <v>0</v>
          </cell>
          <cell r="J7">
            <v>0</v>
          </cell>
          <cell r="K7">
            <v>0</v>
          </cell>
          <cell r="L7">
            <v>0</v>
          </cell>
          <cell r="M7">
            <v>0</v>
          </cell>
          <cell r="N7">
            <v>0</v>
          </cell>
          <cell r="O7">
            <v>0</v>
          </cell>
          <cell r="P7">
            <v>0</v>
          </cell>
          <cell r="Q7">
            <v>0</v>
          </cell>
          <cell r="R7">
            <v>0</v>
          </cell>
          <cell r="S7">
            <v>0</v>
          </cell>
          <cell r="T7">
            <v>3</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-1</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1"/>
      <sheetData sheetId="32">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快速路</v>
          </cell>
          <cell r="D87" t="str">
            <v>主干道</v>
          </cell>
          <cell r="E87" t="str">
            <v>次干道</v>
          </cell>
          <cell r="F87" t="str">
            <v>支路</v>
          </cell>
          <cell r="G87">
            <v>0</v>
          </cell>
          <cell r="H87">
            <v>0</v>
          </cell>
          <cell r="I87">
            <v>0</v>
          </cell>
          <cell r="J87">
            <v>0</v>
          </cell>
          <cell r="K87">
            <v>0</v>
          </cell>
          <cell r="L87">
            <v>0</v>
          </cell>
          <cell r="M87">
            <v>0</v>
          </cell>
        </row>
        <row r="89">
          <cell r="B89" t="str">
            <v>楼层</v>
          </cell>
          <cell r="C89" t="str">
            <v>高</v>
          </cell>
          <cell r="D89" t="str">
            <v>中</v>
          </cell>
          <cell r="E89" t="str">
            <v>低</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33"/>
      <sheetData sheetId="34"/>
      <sheetData sheetId="35"/>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地下仓储</v>
          </cell>
          <cell r="D51">
            <v>0</v>
          </cell>
          <cell r="E51">
            <v>0</v>
          </cell>
          <cell r="F51">
            <v>0</v>
          </cell>
          <cell r="G51">
            <v>0</v>
          </cell>
          <cell r="H51">
            <v>0</v>
          </cell>
          <cell r="I51">
            <v>0</v>
          </cell>
          <cell r="J51">
            <v>0</v>
          </cell>
          <cell r="K51">
            <v>0</v>
          </cell>
          <cell r="L51">
            <v>0</v>
          </cell>
          <cell r="M51">
            <v>0</v>
          </cell>
        </row>
        <row r="69">
          <cell r="B69" t="str">
            <v>楼层</v>
          </cell>
          <cell r="C69" t="str">
            <v>地下</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t="str">
            <v>普通装修</v>
          </cell>
          <cell r="E77" t="str">
            <v>简单装修</v>
          </cell>
          <cell r="F77" t="str">
            <v>毛坯</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t="str">
            <v>有</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1"/>
      <sheetData sheetId="42"/>
      <sheetData sheetId="43"/>
      <sheetData sheetId="44"/>
      <sheetData sheetId="45"/>
      <sheetData sheetId="46"/>
      <sheetData sheetId="47"/>
      <sheetData sheetId="48"/>
      <sheetData sheetId="4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车位</v>
          </cell>
          <cell r="D53">
            <v>0</v>
          </cell>
          <cell r="E53">
            <v>0</v>
          </cell>
          <cell r="F53">
            <v>0</v>
          </cell>
          <cell r="G53">
            <v>0</v>
          </cell>
          <cell r="H53">
            <v>0</v>
          </cell>
          <cell r="I53">
            <v>0</v>
          </cell>
          <cell r="J53">
            <v>0</v>
          </cell>
          <cell r="K53">
            <v>0</v>
          </cell>
          <cell r="L53">
            <v>0</v>
          </cell>
          <cell r="M53">
            <v>0</v>
          </cell>
        </row>
        <row r="71">
          <cell r="B71" t="str">
            <v>楼层</v>
          </cell>
          <cell r="C71">
            <v>-1</v>
          </cell>
          <cell r="D71">
            <v>-2</v>
          </cell>
          <cell r="E71">
            <v>-3</v>
          </cell>
          <cell r="F71">
            <v>0</v>
          </cell>
          <cell r="G71">
            <v>0</v>
          </cell>
          <cell r="H71">
            <v>0</v>
          </cell>
          <cell r="I71">
            <v>0</v>
          </cell>
          <cell r="J71">
            <v>0</v>
          </cell>
          <cell r="K71">
            <v>0</v>
          </cell>
          <cell r="L71">
            <v>0</v>
          </cell>
          <cell r="M71">
            <v>0</v>
          </cell>
        </row>
        <row r="79">
          <cell r="B79" t="str">
            <v>配套类型（地上主用途）</v>
          </cell>
          <cell r="C79" t="str">
            <v>车库</v>
          </cell>
          <cell r="D79" t="str">
            <v>住宅车库</v>
          </cell>
          <cell r="E79">
            <v>0</v>
          </cell>
          <cell r="F79">
            <v>0</v>
          </cell>
          <cell r="G79">
            <v>0</v>
          </cell>
          <cell r="H79">
            <v>0</v>
          </cell>
          <cell r="I79">
            <v>0</v>
          </cell>
          <cell r="J79">
            <v>0</v>
          </cell>
          <cell r="K79">
            <v>0</v>
          </cell>
          <cell r="L79">
            <v>0</v>
          </cell>
          <cell r="M79">
            <v>0</v>
          </cell>
        </row>
        <row r="83">
          <cell r="B83" t="str">
            <v>公共部分装修</v>
          </cell>
          <cell r="C83" t="str">
            <v>精装修</v>
          </cell>
          <cell r="D83" t="str">
            <v>普通装修</v>
          </cell>
          <cell r="E83" t="str">
            <v>简单装修</v>
          </cell>
          <cell r="F83" t="str">
            <v>毛坯</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估价对象为北京市昌平区英才南一街15号院1号楼等13栋部分用房房地产，为所有。根据《国有土地使用证》[]，估价对象（分摊）出让国有建设用地使用权面积为0平方米，建筑面积为1365.98平方米。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1365.98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2024年1月29日（评估专业人员实地查勘之日）</v>
      </c>
    </row>
    <row r="13" spans="1:2" s="1195" customFormat="1">
      <c r="A13" s="1193" t="s">
        <v>529</v>
      </c>
      <c r="B13" s="1194" t="str">
        <f>'预评函-1'!A18</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991</v>
      </c>
    </row>
    <row r="21" spans="1:2" s="1195" customFormat="1">
      <c r="A21" s="1193" t="s">
        <v>537</v>
      </c>
      <c r="B21" s="1194">
        <f ca="1">'预评函-2'!D7</f>
        <v>40531</v>
      </c>
    </row>
    <row r="22" spans="1:2" s="1195" customFormat="1">
      <c r="A22" s="1193" t="s">
        <v>538</v>
      </c>
      <c r="B22" s="1194" t="str">
        <f ca="1">'预评函-2'!D6</f>
        <v>玖佰玖拾壹万元整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991</v>
      </c>
    </row>
    <row r="31" spans="1:2" s="1195" customFormat="1">
      <c r="A31" s="1193" t="s">
        <v>576</v>
      </c>
      <c r="B31" s="1194">
        <f ca="1">'预评函-2'!D15</f>
        <v>40531</v>
      </c>
    </row>
    <row r="32" spans="1:2" s="1195" customFormat="1">
      <c r="A32" s="1193" t="s">
        <v>543</v>
      </c>
      <c r="B32" s="1194" t="str">
        <f ca="1">'预评函-2'!D14</f>
        <v>玖佰玖拾壹万元整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1365.98</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4220</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67"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7"/>
      <c r="B54" s="1546" t="s">
        <v>385</v>
      </c>
      <c r="C54" s="1543" t="s">
        <v>583</v>
      </c>
    </row>
    <row r="55" spans="1:4">
      <c r="A55" s="3667"/>
      <c r="B55" s="1546" t="s">
        <v>386</v>
      </c>
      <c r="C55" s="1543" t="s">
        <v>584</v>
      </c>
    </row>
    <row r="56" spans="1:4">
      <c r="A56" s="3667"/>
      <c r="B56" s="1546" t="s">
        <v>387</v>
      </c>
      <c r="C56" s="1543" t="s">
        <v>588</v>
      </c>
    </row>
    <row r="57" spans="1:4">
      <c r="A57" s="3667"/>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G41" sqref="G41"/>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68" t="s">
        <v>2579</v>
      </c>
      <c r="J2" s="3668"/>
      <c r="K2" s="3668"/>
      <c r="L2" s="3668"/>
      <c r="M2" s="3668"/>
      <c r="N2" s="3668"/>
      <c r="O2" s="3668"/>
      <c r="P2" s="3668"/>
      <c r="Q2" s="3668"/>
      <c r="R2" s="3668"/>
    </row>
    <row r="3" spans="1:18">
      <c r="A3" s="3004" t="s">
        <v>2500</v>
      </c>
      <c r="B3" s="3005">
        <f>项目基本情况!D3</f>
        <v>45320</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2.89</v>
      </c>
      <c r="D5" s="3009">
        <f>IF(ISERROR(ROUND(POWER(1+E5,A5-C5)*(POWER(1+E5,C5)-1)/(POWER(1+E5,A5)-1),3)),0,ROUND(POWER(1+E5,A5-C5)*(POWER(1+E5,C5)-1)/(POWER(1+E5,A5)-1),4))</f>
        <v>0.13539999999999999</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12.89</v>
      </c>
      <c r="D6" s="3009">
        <f>IF(ISERROR(ROUND(POWER(1+E6,A6-C6)*(POWER(1+E6,C6)-1)/(POWER(1+E6,A6)-1),3)),0,ROUND(POWER(1+E6,A6-C6)*(POWER(1+E6,C6)-1)/(POWER(1+E6,A6)-1),4))</f>
        <v>0.46179999999999999</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32.909999999999997</v>
      </c>
      <c r="D7" s="3009">
        <f>IF(ISERROR(ROUND(POWER(1+E7,A7-C7)*(POWER(1+E7,C7)-1)/(POWER(1+E7,A7)-1),3)),0,ROUND(POWER(1+E7,A7-C7)*(POWER(1+E7,C7)-1)/(POWER(1+E7,A7)-1),4))</f>
        <v>0.77470000000000006</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7" sqref="I27"/>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77"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78"/>
      <c r="D1" s="3678"/>
      <c r="E1" s="3678"/>
      <c r="F1" s="3678"/>
      <c r="G1" s="3678"/>
      <c r="H1" s="3678"/>
      <c r="I1" s="3679"/>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45320</v>
      </c>
      <c r="C3" s="2362" t="s">
        <v>2170</v>
      </c>
      <c r="D3" s="2361">
        <f>B3</f>
        <v>45320</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80"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81"/>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60.97</v>
      </c>
      <c r="D15" s="2395">
        <f>IF(A13="出让",IF(D13="","",ROUNDDOWN(MIN((D13-$D$3)/365,D14),2)),D14)</f>
        <v>30.95</v>
      </c>
      <c r="E15" s="2395">
        <f>IF(A13="出让",IF(E13="","",ROUNDDOWN(MIN((E13-$D$3)/365,E14),2)),E14)</f>
        <v>40.96</v>
      </c>
      <c r="F15" s="2395">
        <f>IF(A13="出让",IF(F13="","",ROUNDDOWN(MIN((F13-$D$3)/365,F14),2)),F14)</f>
        <v>40.96</v>
      </c>
      <c r="G15" s="2395">
        <f>IF(A13="出让",IF(G13="","",ROUNDDOWN(MIN((G13-$D$3)/365,G14),2)),G14)</f>
        <v>40.96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87"/>
      <c r="C16" s="3688"/>
      <c r="D16" s="3689"/>
      <c r="E16" s="2398" t="s">
        <v>2193</v>
      </c>
      <c r="F16" s="3690"/>
      <c r="G16" s="3691"/>
      <c r="H16" s="3691"/>
      <c r="I16" s="3692"/>
      <c r="J16" s="2424"/>
      <c r="K16" s="2602"/>
      <c r="L16" s="2436"/>
      <c r="M16" s="2436"/>
      <c r="N16" s="2494"/>
      <c r="O16" s="2436"/>
      <c r="P16" s="2494"/>
      <c r="Q16" s="2424"/>
      <c r="R16" s="2424"/>
    </row>
    <row r="17" spans="1:28">
      <c r="A17" s="313" t="s">
        <v>2194</v>
      </c>
      <c r="B17" s="302" t="s">
        <v>2195</v>
      </c>
      <c r="C17" s="8">
        <f>'数据-汇总表'!E3</f>
        <v>1365.98</v>
      </c>
      <c r="D17" s="2310" t="s">
        <v>2196</v>
      </c>
      <c r="E17" s="3693" t="s">
        <v>2197</v>
      </c>
      <c r="F17" s="3694"/>
      <c r="G17" s="3694"/>
      <c r="H17" s="3694"/>
      <c r="I17" s="3695"/>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96" t="s">
        <v>2201</v>
      </c>
      <c r="F18" s="3697"/>
      <c r="G18" s="3697"/>
      <c r="H18" s="3697"/>
      <c r="I18" s="3698"/>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83" t="s">
        <v>2205</v>
      </c>
      <c r="C20" s="3684"/>
      <c r="D20" s="3685" t="s">
        <v>2206</v>
      </c>
      <c r="E20" s="3686"/>
      <c r="F20" s="2632" t="s">
        <v>1056</v>
      </c>
      <c r="G20" s="2649"/>
      <c r="H20" s="2649"/>
      <c r="I20" s="2649"/>
      <c r="J20" s="2424"/>
      <c r="K20" s="3682"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82"/>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82"/>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70"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70"/>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70"/>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71"/>
      <c r="B30" s="302" t="s">
        <v>2217</v>
      </c>
      <c r="C30" s="3672"/>
      <c r="D30" s="3673"/>
      <c r="E30" s="2649"/>
      <c r="F30" s="2649"/>
      <c r="G30" s="2649"/>
      <c r="H30" s="2649"/>
      <c r="I30" s="2649"/>
      <c r="J30" s="2424"/>
      <c r="K30" s="2601"/>
      <c r="L30" s="2598"/>
      <c r="M30" s="2598"/>
      <c r="N30" s="2424"/>
      <c r="O30" s="2435"/>
      <c r="P30" s="2424"/>
      <c r="Q30" s="2424"/>
      <c r="R30" s="2424"/>
      <c r="S30" s="2424"/>
      <c r="T30" s="2424"/>
      <c r="U30" s="2424"/>
      <c r="V30" s="2424"/>
    </row>
    <row r="31" spans="1:28">
      <c r="A31" s="3674"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75"/>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75"/>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69" t="s">
        <v>2227</v>
      </c>
      <c r="T34" s="2413" t="str">
        <f>NUMBERSTRING(7-K34,1)&amp;"通"</f>
        <v>七通</v>
      </c>
      <c r="U34" s="2424"/>
      <c r="V34" s="2424"/>
    </row>
    <row r="35" spans="1:30">
      <c r="A35" s="2414"/>
      <c r="B35" s="3676" t="s">
        <v>2228</v>
      </c>
      <c r="C35" s="3676"/>
      <c r="D35" s="3676"/>
      <c r="E35" s="3676"/>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69"/>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1365.98</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1365.98</v>
      </c>
      <c r="H5" s="13">
        <f t="shared" ref="H5:AT5" si="0">SUM(H13:H656)</f>
        <v>1365.98</v>
      </c>
      <c r="I5" s="13">
        <f t="shared" si="0"/>
        <v>244.44</v>
      </c>
      <c r="J5" s="13">
        <f t="shared" si="0"/>
        <v>0</v>
      </c>
      <c r="K5" s="13">
        <f t="shared" si="0"/>
        <v>1121.54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1365.98</v>
      </c>
      <c r="BA5" s="15">
        <f t="shared" si="1"/>
        <v>1365.98</v>
      </c>
      <c r="BB5" s="15">
        <f t="shared" si="1"/>
        <v>244.44</v>
      </c>
      <c r="BC5" s="15">
        <f t="shared" si="1"/>
        <v>1121.54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244.44</v>
      </c>
      <c r="H13" s="17">
        <f>SUMIF(I$12:AB$12,"总值",I13:AB13)</f>
        <v>244.44</v>
      </c>
      <c r="I13" s="1618">
        <f>'商办车库-新'!F219</f>
        <v>244.44</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244.44</v>
      </c>
      <c r="BA13" s="13">
        <f>SUM(BB13:BK13)</f>
        <v>244.44</v>
      </c>
      <c r="BB13" s="13">
        <f>IF($D13="是",I13-J13,0)</f>
        <v>244.44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1121.54</v>
      </c>
      <c r="H14" s="17">
        <f>SUMIF(I$12:AB$12,"总值",I14:AB14)</f>
        <v>1121.54</v>
      </c>
      <c r="I14" s="1618"/>
      <c r="J14" s="1618"/>
      <c r="K14" s="1618">
        <f>'商办车库-新'!F280</f>
        <v>1121.54</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1121.54</v>
      </c>
      <c r="BA14" s="13">
        <f>SUM(BB14:BK14)</f>
        <v>1121.54</v>
      </c>
      <c r="BB14" s="13">
        <f>IF($D14="是",I14-J14,0)</f>
        <v>0</v>
      </c>
      <c r="BC14" s="13">
        <f>IF($D14="是",K14-L14,0)</f>
        <v>1121.54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0</v>
      </c>
      <c r="H15" s="17">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708" t="s">
        <v>1131</v>
      </c>
      <c r="B2" s="3708"/>
      <c r="C2" s="3708"/>
      <c r="D2" s="788" t="s">
        <v>1107</v>
      </c>
      <c r="E2" s="1631" t="s">
        <v>1108</v>
      </c>
      <c r="F2" s="2644"/>
      <c r="G2" s="2635"/>
      <c r="H2" s="2636"/>
      <c r="I2" s="2313" t="s">
        <v>1132</v>
      </c>
      <c r="J2" s="2644"/>
      <c r="K2" s="2644"/>
      <c r="L2" s="2644"/>
      <c r="M2" s="2644"/>
      <c r="N2" s="2646"/>
      <c r="O2" s="2644"/>
      <c r="P2" s="2644"/>
    </row>
    <row r="3" spans="1:16" ht="15.75" thickBot="1">
      <c r="A3" s="3709" t="s">
        <v>1105</v>
      </c>
      <c r="B3" s="3709"/>
      <c r="C3" s="3709"/>
      <c r="D3" s="43">
        <f>'数据-基础表'!AY6</f>
        <v>0</v>
      </c>
      <c r="E3" s="43">
        <f>'数据-基础表'!AZ5</f>
        <v>1365.98</v>
      </c>
      <c r="F3" s="2644"/>
      <c r="G3" s="1137"/>
      <c r="H3" s="1018" t="s">
        <v>1106</v>
      </c>
      <c r="I3" s="847" t="e">
        <f>ROUND('数据-基础表'!B3/'数据-基础表'!A3,2)</f>
        <v>#DIV/0!</v>
      </c>
      <c r="J3" s="2644"/>
      <c r="K3" s="2644"/>
      <c r="L3" s="2644"/>
      <c r="M3" s="2644"/>
      <c r="N3" s="2646"/>
      <c r="O3" s="2644"/>
      <c r="P3" s="2644"/>
    </row>
    <row r="4" spans="1:16" ht="15">
      <c r="A4" s="3710"/>
      <c r="B4" s="3711"/>
      <c r="C4" s="3712"/>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713" t="s">
        <v>1110</v>
      </c>
      <c r="C5" s="3713"/>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713" t="s">
        <v>1111</v>
      </c>
      <c r="C6" s="3713"/>
      <c r="D6" s="45">
        <f>ROUND($D$3*E6/$E$3,2)</f>
        <v>0</v>
      </c>
      <c r="E6" s="46">
        <f>E3-E5</f>
        <v>1365.98</v>
      </c>
      <c r="F6" s="2644"/>
      <c r="G6" s="2638" t="s">
        <v>1112</v>
      </c>
      <c r="H6" s="1138" t="s">
        <v>1113</v>
      </c>
      <c r="I6" s="2639" t="e">
        <f>ROUND(F31/D31,2)</f>
        <v>#DIV/0!</v>
      </c>
      <c r="J6" s="2644"/>
      <c r="K6" s="2644"/>
      <c r="L6" s="2644"/>
      <c r="M6" s="2644"/>
      <c r="N6" s="2644"/>
      <c r="O6" s="2644"/>
      <c r="P6" s="2644"/>
    </row>
    <row r="7" spans="1:16" ht="15.75" thickBot="1">
      <c r="A7" s="3705"/>
      <c r="B7" s="3706"/>
      <c r="C7" s="3707"/>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1365.98</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1365.98</v>
      </c>
      <c r="F16" s="2644"/>
      <c r="G16" s="2645"/>
      <c r="H16" s="1640" t="s">
        <v>1135</v>
      </c>
      <c r="I16" s="1641"/>
      <c r="J16" s="1131"/>
      <c r="K16" s="3702" t="s">
        <v>1135</v>
      </c>
      <c r="L16" s="3703"/>
      <c r="M16" s="3703"/>
      <c r="N16" s="3703"/>
      <c r="O16" s="3703"/>
      <c r="P16" s="3704"/>
    </row>
    <row r="17" spans="1:19" ht="15">
      <c r="A17" s="1642" t="s">
        <v>1136</v>
      </c>
      <c r="B17" s="1643" t="s">
        <v>1137</v>
      </c>
      <c r="C17" s="1644" t="s">
        <v>1138</v>
      </c>
      <c r="D17" s="1645" t="s">
        <v>1126</v>
      </c>
      <c r="E17" s="1646" t="s">
        <v>1127</v>
      </c>
      <c r="F17" s="1647"/>
      <c r="G17" s="1648"/>
      <c r="H17" s="1649" t="s">
        <v>1139</v>
      </c>
      <c r="I17" s="1650" t="s">
        <v>1124</v>
      </c>
      <c r="J17" s="1131"/>
      <c r="K17" s="3699" t="s">
        <v>1140</v>
      </c>
      <c r="L17" s="3700"/>
      <c r="M17" s="3701"/>
      <c r="N17" s="3699" t="s">
        <v>1141</v>
      </c>
      <c r="O17" s="3700"/>
      <c r="P17" s="3701"/>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244.44</v>
      </c>
      <c r="F19" s="2779">
        <f>'数据-基础表'!I13</f>
        <v>244.44</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244.44</v>
      </c>
    </row>
    <row r="20" spans="1:19">
      <c r="A20" s="1662"/>
      <c r="B20" s="47" t="s">
        <v>1153</v>
      </c>
      <c r="C20" s="3401" t="s">
        <v>4160</v>
      </c>
      <c r="D20" s="45">
        <f t="shared" ref="D20:D26" si="6">ROUND($D$3*E20/$E$3,2)</f>
        <v>0</v>
      </c>
      <c r="E20" s="53">
        <f t="shared" si="1"/>
        <v>1121.54</v>
      </c>
      <c r="F20" s="2779">
        <f>'数据-基础表'!K14</f>
        <v>1121.54</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1121.54</v>
      </c>
    </row>
    <row r="21" spans="1:19">
      <c r="A21" s="1662"/>
      <c r="B21" s="47" t="s">
        <v>1153</v>
      </c>
      <c r="C21" s="3401" t="s">
        <v>4162</v>
      </c>
      <c r="D21" s="45">
        <f t="shared" si="6"/>
        <v>0</v>
      </c>
      <c r="E21" s="53">
        <f t="shared" si="1"/>
        <v>0</v>
      </c>
      <c r="F21" s="2779"/>
      <c r="G21" s="2780">
        <f>'数据-基础表'!O15</f>
        <v>0</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0</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1365.98</v>
      </c>
      <c r="F27" s="1132">
        <f>IF(SUM(F19:F26)=E8,SUM(F19:F26),"地上面积有误")</f>
        <v>1365.98</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1365.98</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1365.98</v>
      </c>
      <c r="F31" s="672">
        <f>F27+F30</f>
        <v>1365.98</v>
      </c>
      <c r="G31" s="673">
        <f>G27+G30</f>
        <v>0</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45320</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30.95</v>
      </c>
      <c r="G6" s="65">
        <f>IF(ISERROR(ROUND(POWER(1+H6,D6-F6)*(POWER(1+H6,F6)-1)/(POWER(1+H6,D6)-1),3)),0,ROUND(POWER(1+H6,D6-F6)*(POWER(1+H6,F6)-1)/(POWER(1+H6,D6)-1),3))</f>
        <v>0.90800000000000003</v>
      </c>
      <c r="H6" s="727">
        <v>0.05</v>
      </c>
      <c r="I6" s="727">
        <v>0.06</v>
      </c>
      <c r="J6" s="66">
        <v>7.0000000000000007E-2</v>
      </c>
      <c r="K6" s="1022">
        <f>SUMIF('数据-汇总表'!C$19:C$33,A6,'数据-汇总表'!E$19:E$33)</f>
        <v>244.44</v>
      </c>
      <c r="L6" s="728">
        <v>6000</v>
      </c>
      <c r="M6" s="67">
        <f t="shared" ref="M6:M14" si="0">ROUND(K6*L6/10000,0)</f>
        <v>147</v>
      </c>
      <c r="N6" s="726">
        <f>N20</f>
        <v>0.95</v>
      </c>
      <c r="O6" s="67" t="str">
        <f>IF($N$5="成新度","——",ROUND(M6*N6,0))</f>
        <v>——</v>
      </c>
      <c r="P6" s="68" t="str">
        <f>IF($N$5="成新度","——",M6-O6)</f>
        <v>——</v>
      </c>
      <c r="Q6" s="729">
        <v>0.2</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0</v>
      </c>
      <c r="W6" s="70">
        <v>0.1</v>
      </c>
      <c r="X6" s="1032"/>
      <c r="Y6" s="71">
        <f>N6</f>
        <v>0.95</v>
      </c>
      <c r="Z6" s="72"/>
      <c r="AA6" s="66"/>
      <c r="AB6" s="66"/>
      <c r="AC6" s="1032"/>
      <c r="AD6" s="73"/>
      <c r="AE6" s="1033">
        <f ca="1">IF(AN6="",0,SUMIF(INDIRECT("'"&amp;AN6&amp;"'"&amp;"!E:E"),$AE$5,INDIRECT("'"&amp;AN6&amp;"'"&amp;"!F:F")))</f>
        <v>30.95</v>
      </c>
      <c r="AF6" s="1340" t="str">
        <f>项目基本情况!I15</f>
        <v/>
      </c>
      <c r="AG6" s="138">
        <f>IF(AF6="",0,AE6-AF6)</f>
        <v>0</v>
      </c>
      <c r="AH6" s="74"/>
      <c r="AI6" s="76">
        <v>365</v>
      </c>
      <c r="AJ6" s="77"/>
      <c r="AK6" s="78">
        <v>5.0000000000000001E-3</v>
      </c>
      <c r="AL6" s="79">
        <v>1E-3</v>
      </c>
      <c r="AM6" s="80">
        <f>AK6</f>
        <v>5.0000000000000001E-3</v>
      </c>
      <c r="AN6" s="1707" t="s">
        <v>4219</v>
      </c>
      <c r="AO6" s="52">
        <f ca="1">SUMIF(INDIRECT("'"&amp;AN6&amp;"'"&amp;"!A:A"),"总价",INDIRECT("'"&amp;AN6&amp;"'"&amp;"!B:B"))</f>
        <v>594.59569999999997</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40.96</v>
      </c>
      <c r="G7" s="65">
        <f t="shared" ref="G7:G11" si="2">IF(ISERROR(ROUND(POWER(1+H7,D7-F7)*(POWER(1+H7,F7)-1)/(POWER(1+H7,D7)-1),3)),0,ROUND(POWER(1+H7,D7-F7)*(POWER(1+H7,F7)-1)/(POWER(1+H7,D7)-1),3))</f>
        <v>0.94699999999999995</v>
      </c>
      <c r="H7" s="727">
        <v>0.05</v>
      </c>
      <c r="I7" s="727">
        <v>0.06</v>
      </c>
      <c r="J7" s="66">
        <v>7.0000000000000007E-2</v>
      </c>
      <c r="K7" s="1022">
        <f>SUMIF('数据-汇总表'!C$19:C$33,A7,'数据-汇总表'!E$19:E$33)</f>
        <v>1121.54</v>
      </c>
      <c r="L7" s="728">
        <f>L6</f>
        <v>6000</v>
      </c>
      <c r="M7" s="67">
        <f t="shared" si="0"/>
        <v>673</v>
      </c>
      <c r="N7" s="726">
        <f>N6</f>
        <v>0.95</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3.8</v>
      </c>
      <c r="V7" s="70">
        <f>V6</f>
        <v>0</v>
      </c>
      <c r="W7" s="70">
        <v>0.1</v>
      </c>
      <c r="X7" s="1032"/>
      <c r="Y7" s="71">
        <f>N7</f>
        <v>0.95</v>
      </c>
      <c r="Z7" s="72"/>
      <c r="AA7" s="66"/>
      <c r="AB7" s="66"/>
      <c r="AC7" s="1032"/>
      <c r="AD7" s="73"/>
      <c r="AE7" s="1033">
        <f t="shared" ref="AE7:AE13" ca="1" si="6">IF(AN7="",0,SUMIF(INDIRECT("'"&amp;AN7&amp;"'"&amp;"!E:E"),$AE$5,INDIRECT("'"&amp;AN7&amp;"'"&amp;"!F:F")))</f>
        <v>40.96</v>
      </c>
      <c r="AF7" s="1340"/>
      <c r="AG7" s="138">
        <f t="shared" ref="AG7:AG13" si="7">IF(AF7="",0,AE7-AF7)</f>
        <v>0</v>
      </c>
      <c r="AH7" s="74"/>
      <c r="AI7" s="76">
        <v>365</v>
      </c>
      <c r="AJ7" s="77"/>
      <c r="AK7" s="78">
        <f>AK6</f>
        <v>5.0000000000000001E-3</v>
      </c>
      <c r="AL7" s="79">
        <f>AL6</f>
        <v>1E-3</v>
      </c>
      <c r="AM7" s="80">
        <f t="shared" ref="AM7:AM8" si="8">AK7</f>
        <v>5.0000000000000001E-3</v>
      </c>
      <c r="AN7" s="1707" t="s">
        <v>4164</v>
      </c>
      <c r="AO7" s="52">
        <f t="shared" ref="AO7:AO13" ca="1" si="9">SUMIF(INDIRECT("'"&amp;AN7&amp;"'"&amp;"!A:A"),"总价",INDIRECT("'"&amp;AN7&amp;"'"&amp;"!B:B"))</f>
        <v>1689.7769000000001</v>
      </c>
      <c r="AP7" s="1708">
        <f t="shared" ref="AP7:AP13" si="10">IF(C7="住宅",K7*L7,0)</f>
        <v>0</v>
      </c>
      <c r="AQ7" s="52">
        <f t="shared" ref="AQ7:AQ13" si="11">ROUND($L$14*$N$14*S7/10000,0)</f>
        <v>0</v>
      </c>
      <c r="AR7" s="52">
        <f t="shared" ref="AR7:AR13" si="12">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40.96</v>
      </c>
      <c r="G8" s="65">
        <f t="shared" si="2"/>
        <v>0</v>
      </c>
      <c r="H8" s="727"/>
      <c r="I8" s="727"/>
      <c r="J8" s="66"/>
      <c r="K8" s="1022">
        <f>SUMIF('数据-汇总表'!C$19:C$33,A8,'数据-汇总表'!E$19:E$33)</f>
        <v>0</v>
      </c>
      <c r="L8" s="728"/>
      <c r="M8" s="67">
        <f>ROUND(K8*L8/10000,0)</f>
        <v>0</v>
      </c>
      <c r="N8" s="726"/>
      <c r="O8" s="67" t="str">
        <f t="shared" si="3"/>
        <v>——</v>
      </c>
      <c r="P8" s="68" t="str">
        <f t="shared" si="4"/>
        <v>——</v>
      </c>
      <c r="Q8" s="729"/>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v>
      </c>
      <c r="W8" s="730">
        <v>0.1</v>
      </c>
      <c r="X8" s="1032"/>
      <c r="Y8" s="71">
        <f>N8</f>
        <v>0</v>
      </c>
      <c r="Z8" s="72"/>
      <c r="AA8" s="66"/>
      <c r="AB8" s="66"/>
      <c r="AC8" s="1032"/>
      <c r="AD8" s="73"/>
      <c r="AE8" s="1033">
        <f t="shared" ca="1" si="6"/>
        <v>40.96</v>
      </c>
      <c r="AF8" s="1340"/>
      <c r="AG8" s="138">
        <f t="shared" si="7"/>
        <v>0</v>
      </c>
      <c r="AH8" s="731">
        <v>1</v>
      </c>
      <c r="AI8" s="76">
        <v>12</v>
      </c>
      <c r="AJ8" s="77"/>
      <c r="AK8" s="78">
        <f>AK6</f>
        <v>5.0000000000000001E-3</v>
      </c>
      <c r="AL8" s="79">
        <f>AL6</f>
        <v>1E-3</v>
      </c>
      <c r="AM8" s="80">
        <f t="shared" si="8"/>
        <v>5.0000000000000001E-3</v>
      </c>
      <c r="AN8" s="1707" t="s">
        <v>4163</v>
      </c>
      <c r="AO8" s="52" t="e">
        <f t="shared" ca="1" si="9"/>
        <v>#DIV/0!</v>
      </c>
      <c r="AP8" s="1708">
        <f t="shared" si="10"/>
        <v>0</v>
      </c>
      <c r="AQ8" s="52">
        <f t="shared" si="11"/>
        <v>0</v>
      </c>
      <c r="AR8" s="52">
        <f t="shared" si="12"/>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9"/>
        <v>#REF!</v>
      </c>
      <c r="AP9" s="1708">
        <f t="shared" si="10"/>
        <v>0</v>
      </c>
      <c r="AQ9" s="52">
        <f t="shared" si="11"/>
        <v>0</v>
      </c>
      <c r="AR9" s="52">
        <f t="shared" si="12"/>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9"/>
        <v>#REF!</v>
      </c>
      <c r="AP10" s="1708">
        <f t="shared" si="10"/>
        <v>0</v>
      </c>
      <c r="AQ10" s="52">
        <f t="shared" si="11"/>
        <v>0</v>
      </c>
      <c r="AR10" s="52">
        <f t="shared" si="12"/>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9"/>
        <v>#REF!</v>
      </c>
      <c r="AP11" s="1708">
        <f t="shared" si="10"/>
        <v>0</v>
      </c>
      <c r="AQ11" s="52">
        <f t="shared" si="11"/>
        <v>0</v>
      </c>
      <c r="AR11" s="52">
        <f t="shared" si="12"/>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9"/>
        <v>#REF!</v>
      </c>
      <c r="AP12" s="1708">
        <f t="shared" si="10"/>
        <v>0</v>
      </c>
      <c r="AQ12" s="52">
        <f t="shared" si="11"/>
        <v>0</v>
      </c>
      <c r="AR12" s="52">
        <f t="shared" si="12"/>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9"/>
        <v>#REF!</v>
      </c>
      <c r="AP13" s="1708">
        <f t="shared" si="10"/>
        <v>0</v>
      </c>
      <c r="AQ13" s="52">
        <f t="shared" si="11"/>
        <v>0</v>
      </c>
      <c r="AR13" s="52">
        <f t="shared" si="12"/>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991</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v>
      </c>
      <c r="H16" s="90">
        <f>ROUND(SUMPRODUCT(H6:H13,K6:K13)/SUMPRODUCT((H6:H13&gt;0)*(K6:K13)),3)</f>
        <v>0.05</v>
      </c>
      <c r="I16" s="91"/>
      <c r="J16" s="91"/>
      <c r="K16" s="92">
        <f>SUM(K6:K15)</f>
        <v>1365.98</v>
      </c>
      <c r="L16" s="93">
        <f>ROUND(M16*10000/SUM(K6:K14),0)</f>
        <v>6003</v>
      </c>
      <c r="M16" s="93">
        <f>SUM(M6:M14)</f>
        <v>820</v>
      </c>
      <c r="N16" s="94">
        <f>ROUND(SUMPRODUCT(M6:M14,N6:N14)/M16,3)</f>
        <v>0.95</v>
      </c>
      <c r="O16" s="93">
        <f>SUM(O6:O14)</f>
        <v>0</v>
      </c>
      <c r="P16" s="93">
        <f>SUM(P6:P14)</f>
        <v>0</v>
      </c>
      <c r="Q16" s="95">
        <f>ROUND(SUMPRODUCT(Q6:Q13,K6:K13)/SUMPRODUCT((Q6:Q13&gt;0)*(K6:K13)),2)</f>
        <v>0.16</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2.5</v>
      </c>
      <c r="C20" s="2784" t="s">
        <v>2298</v>
      </c>
      <c r="D20" s="2660"/>
      <c r="E20" s="2657"/>
      <c r="F20" s="2657"/>
      <c r="G20" s="2657"/>
      <c r="H20" s="2657"/>
      <c r="I20" s="2657"/>
      <c r="J20" s="2657"/>
      <c r="K20" s="2656"/>
      <c r="L20" s="2656"/>
      <c r="M20" s="3436" t="s">
        <v>3390</v>
      </c>
      <c r="N20" s="2655">
        <f>ROUND(1-(2024-N19)/60,2)</f>
        <v>0.95</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v>2.5</v>
      </c>
      <c r="C21" s="2657"/>
      <c r="D21" s="2660"/>
      <c r="E21" s="2657"/>
      <c r="F21" s="2657"/>
      <c r="G21" s="2657"/>
      <c r="H21" s="2657"/>
      <c r="I21" s="2657"/>
      <c r="J21" s="2657"/>
      <c r="K21" s="2656"/>
      <c r="L21" s="2656"/>
      <c r="M21" s="3436" t="s">
        <v>3391</v>
      </c>
      <c r="N21" s="2655">
        <v>0.95</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2.5</v>
      </c>
      <c r="C22" s="2657"/>
      <c r="D22" s="2660"/>
      <c r="E22" s="2657"/>
      <c r="F22" s="2657"/>
      <c r="G22" s="2657"/>
      <c r="H22" s="2657"/>
      <c r="I22" s="2657"/>
      <c r="J22" s="2657"/>
      <c r="K22" s="2656"/>
      <c r="L22" s="2656"/>
      <c r="M22" s="2655"/>
      <c r="N22" s="2655">
        <f>(N20+N21)/2</f>
        <v>0.95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2.5</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0.05</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14" t="s">
        <v>2281</v>
      </c>
      <c r="B1" s="3715"/>
      <c r="C1" s="3715"/>
      <c r="D1" s="3715"/>
      <c r="E1" s="3715"/>
      <c r="F1" s="3715"/>
      <c r="G1" s="3715"/>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4201</v>
      </c>
      <c r="D4" s="2450"/>
      <c r="E4" s="2454"/>
      <c r="F4" s="1365" t="s">
        <v>2254</v>
      </c>
      <c r="G4" s="2455" t="s">
        <v>2255</v>
      </c>
      <c r="H4" s="791"/>
      <c r="I4" s="791"/>
      <c r="J4" s="791"/>
      <c r="K4" s="791"/>
      <c r="L4" s="791"/>
      <c r="M4" s="791"/>
      <c r="N4" s="791"/>
      <c r="O4" s="791"/>
      <c r="P4" s="791"/>
      <c r="Q4" s="791"/>
      <c r="R4" s="791"/>
    </row>
    <row r="5" spans="1:29" ht="36.75">
      <c r="A5" s="2427"/>
      <c r="B5" s="323" t="s">
        <v>2256</v>
      </c>
      <c r="C5" s="2453" t="s">
        <v>4200</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104706.90999999992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45320</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252358</v>
      </c>
      <c r="C5" s="2497">
        <f ca="1">IF(B5=D14,结果表!H102,ROUND(B5*10000/$B$1,0))</f>
        <v>24101</v>
      </c>
      <c r="D5" s="2497" t="e">
        <f ca="1">ROUND(B5*10000/$B$2,0)</f>
        <v>#DIV/0!</v>
      </c>
      <c r="E5" s="2670"/>
      <c r="F5" s="2671"/>
      <c r="G5" s="2671"/>
      <c r="H5" s="2672"/>
      <c r="I5" s="2672"/>
      <c r="J5" s="2672"/>
      <c r="K5" s="2672"/>
    </row>
    <row r="6" spans="1:11" ht="16.5">
      <c r="A6" s="2497" t="s">
        <v>656</v>
      </c>
      <c r="B6" s="2497">
        <f ca="1">SUM(G14:G23)</f>
        <v>252358</v>
      </c>
      <c r="C6" s="2497">
        <f ca="1">IF(B6=G14,结果表!H108,ROUND(B6*10000/$B$1,0))</f>
        <v>24101</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12232.38</v>
      </c>
      <c r="C14" s="2503"/>
      <c r="D14" s="2503">
        <f ca="1">典型户型修正!S22</f>
        <v>40121</v>
      </c>
      <c r="E14" s="2503">
        <f ca="1">ROUND(D14*10000/B14,0)</f>
        <v>32799</v>
      </c>
      <c r="F14" s="2503" t="e">
        <f ca="1">ROUND(D14*10000/C14,0)</f>
        <v>#DIV/0!</v>
      </c>
      <c r="G14" s="2503">
        <f ca="1">D14</f>
        <v>40121</v>
      </c>
      <c r="H14" s="2503"/>
      <c r="I14" s="2503"/>
      <c r="J14" s="2671" t="s">
        <v>4249</v>
      </c>
      <c r="K14" s="2672"/>
    </row>
    <row r="15" spans="1:11" ht="16.5">
      <c r="A15" s="2502" t="s">
        <v>649</v>
      </c>
      <c r="B15" s="2503">
        <f>典型户型修正办!B22</f>
        <v>92474.529999999912</v>
      </c>
      <c r="C15" s="2503"/>
      <c r="D15" s="2503">
        <f ca="1">典型户型修正办!S22</f>
        <v>212237</v>
      </c>
      <c r="E15" s="2503">
        <f t="shared" ref="E15:E23" ca="1" si="0">ROUND(D15*10000/B15,0)</f>
        <v>22951</v>
      </c>
      <c r="F15" s="2503" t="e">
        <f t="shared" ref="F15:F23" ca="1" si="1">ROUND(D15*10000/C15,0)</f>
        <v>#DIV/0!</v>
      </c>
      <c r="G15" s="2503">
        <f ca="1">D15</f>
        <v>212237</v>
      </c>
      <c r="H15" s="1323"/>
      <c r="I15" s="2504"/>
      <c r="J15" s="2671" t="s">
        <v>4250</v>
      </c>
      <c r="K15" s="2672"/>
    </row>
    <row r="16" spans="1:11" ht="16.5">
      <c r="A16" s="2502" t="s">
        <v>648</v>
      </c>
      <c r="B16" s="2503"/>
      <c r="C16" s="2503"/>
      <c r="D16" s="2503"/>
      <c r="E16" s="2503" t="e">
        <f t="shared" si="0"/>
        <v>#DIV/0!</v>
      </c>
      <c r="F16" s="2503" t="e">
        <f t="shared" si="1"/>
        <v>#DIV/0!</v>
      </c>
      <c r="G16" s="2503"/>
      <c r="H16" s="1323"/>
      <c r="I16" s="2504"/>
      <c r="J16" s="2672"/>
      <c r="K16" s="2672"/>
    </row>
    <row r="17" spans="1:11" ht="16.5">
      <c r="A17" s="2502" t="s">
        <v>647</v>
      </c>
      <c r="B17" s="2503"/>
      <c r="C17" s="2503"/>
      <c r="D17" s="2503"/>
      <c r="E17" s="2503" t="e">
        <f t="shared" si="0"/>
        <v>#DIV/0!</v>
      </c>
      <c r="F17" s="2503" t="e">
        <f t="shared" si="1"/>
        <v>#DIV/0!</v>
      </c>
      <c r="G17" s="2503"/>
      <c r="H17" s="1323"/>
      <c r="I17" s="2504"/>
      <c r="J17" s="2672"/>
      <c r="K17" s="2672"/>
    </row>
    <row r="18" spans="1:11" ht="16.5">
      <c r="A18" s="2502" t="s">
        <v>646</v>
      </c>
      <c r="B18" s="2503"/>
      <c r="C18" s="2503"/>
      <c r="D18" s="2503"/>
      <c r="E18" s="2503" t="e">
        <f t="shared" si="0"/>
        <v>#DIV/0!</v>
      </c>
      <c r="F18" s="2503" t="e">
        <f t="shared" si="1"/>
        <v>#DIV/0!</v>
      </c>
      <c r="G18" s="2503"/>
      <c r="H18" s="2504"/>
      <c r="I18" s="2504"/>
      <c r="J18" s="2672"/>
      <c r="K18" s="2672"/>
    </row>
    <row r="19" spans="1:11" ht="16.5">
      <c r="A19" s="2502" t="s">
        <v>645</v>
      </c>
      <c r="B19" s="2503"/>
      <c r="C19" s="2503"/>
      <c r="D19" s="2503"/>
      <c r="E19" s="2503" t="e">
        <f t="shared" si="0"/>
        <v>#DIV/0!</v>
      </c>
      <c r="F19" s="2503" t="e">
        <f t="shared" si="1"/>
        <v>#DIV/0!</v>
      </c>
      <c r="G19" s="2503"/>
      <c r="H19" s="2504"/>
      <c r="I19" s="2504"/>
      <c r="J19" s="2672"/>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50" t="str">
        <f>项目基本情况!S2</f>
        <v>北京市昌平区英才南一街15号院1号楼等13栋部分用房房地产</v>
      </c>
      <c r="B2" s="3751"/>
      <c r="C2" s="3751"/>
      <c r="D2" s="3751"/>
      <c r="E2" s="3751"/>
      <c r="F2" s="3751"/>
      <c r="G2" s="3751"/>
      <c r="H2" s="3751"/>
      <c r="I2" s="3752"/>
    </row>
    <row r="3" spans="1:12" ht="12.75">
      <c r="A3" s="3754" t="s">
        <v>1264</v>
      </c>
      <c r="B3" s="3755"/>
      <c r="C3" s="3755"/>
      <c r="D3" s="3755"/>
      <c r="E3" s="3755"/>
      <c r="F3" s="3755"/>
      <c r="G3" s="3755"/>
      <c r="H3" s="3755"/>
      <c r="I3" s="3755"/>
    </row>
    <row r="4" spans="1:12" ht="14.25">
      <c r="A4" s="1746" t="s">
        <v>1265</v>
      </c>
      <c r="B4" s="1747" t="s">
        <v>1266</v>
      </c>
      <c r="C4" s="1748" t="s">
        <v>4243</v>
      </c>
      <c r="D4" s="1748" t="s">
        <v>4219</v>
      </c>
      <c r="E4" s="3756" t="s">
        <v>1267</v>
      </c>
      <c r="F4" s="3757"/>
      <c r="G4" s="3757"/>
      <c r="H4" s="3757"/>
      <c r="I4" s="375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0" t="s">
        <v>1268</v>
      </c>
      <c r="B5" s="3717">
        <v>25</v>
      </c>
      <c r="C5" s="3733"/>
      <c r="D5" s="3753"/>
      <c r="E5" s="131" t="s">
        <v>1269</v>
      </c>
      <c r="F5" s="1749"/>
      <c r="G5" s="1749"/>
      <c r="H5" s="1749"/>
      <c r="I5" s="1365"/>
    </row>
    <row r="6" spans="1:12" ht="12.75">
      <c r="A6" s="3730"/>
      <c r="B6" s="3717"/>
      <c r="C6" s="3734"/>
      <c r="D6" s="3753"/>
      <c r="E6" s="131" t="s">
        <v>1270</v>
      </c>
      <c r="F6" s="1749"/>
      <c r="G6" s="1749"/>
      <c r="H6" s="1749"/>
      <c r="I6" s="1365"/>
    </row>
    <row r="7" spans="1:12" ht="12.75">
      <c r="A7" s="3730"/>
      <c r="B7" s="3717"/>
      <c r="C7" s="3735"/>
      <c r="D7" s="3753"/>
      <c r="E7" s="131" t="s">
        <v>1271</v>
      </c>
      <c r="F7" s="1749"/>
      <c r="G7" s="1749"/>
      <c r="H7" s="1749"/>
      <c r="I7" s="1365"/>
    </row>
    <row r="8" spans="1:12" ht="12.75">
      <c r="A8" s="3730" t="s">
        <v>1272</v>
      </c>
      <c r="B8" s="3717">
        <v>15</v>
      </c>
      <c r="C8" s="3733"/>
      <c r="D8" s="3753"/>
      <c r="E8" s="131" t="s">
        <v>1273</v>
      </c>
      <c r="F8" s="1749"/>
      <c r="G8" s="1749"/>
      <c r="H8" s="1749"/>
      <c r="I8" s="1365"/>
    </row>
    <row r="9" spans="1:12" ht="12.75">
      <c r="A9" s="3730"/>
      <c r="B9" s="3717"/>
      <c r="C9" s="3735"/>
      <c r="D9" s="3753"/>
      <c r="E9" s="131" t="s">
        <v>1274</v>
      </c>
      <c r="F9" s="1749"/>
      <c r="G9" s="1749"/>
      <c r="H9" s="1749"/>
      <c r="I9" s="1365"/>
    </row>
    <row r="10" spans="1:12" ht="12.75">
      <c r="A10" s="3730" t="s">
        <v>1275</v>
      </c>
      <c r="B10" s="3717">
        <v>15</v>
      </c>
      <c r="C10" s="3733"/>
      <c r="D10" s="3753"/>
      <c r="E10" s="131" t="s">
        <v>1276</v>
      </c>
      <c r="F10" s="1749"/>
      <c r="G10" s="1749"/>
      <c r="H10" s="1749"/>
      <c r="I10" s="1365"/>
    </row>
    <row r="11" spans="1:12" ht="12.75">
      <c r="A11" s="3730"/>
      <c r="B11" s="3717"/>
      <c r="C11" s="3735"/>
      <c r="D11" s="3753"/>
      <c r="E11" s="131" t="s">
        <v>1277</v>
      </c>
      <c r="F11" s="1749"/>
      <c r="G11" s="1749"/>
      <c r="H11" s="1749"/>
      <c r="I11" s="1365"/>
    </row>
    <row r="12" spans="1:12" ht="12.75">
      <c r="A12" s="3730" t="s">
        <v>1278</v>
      </c>
      <c r="B12" s="3717">
        <v>15</v>
      </c>
      <c r="C12" s="3733"/>
      <c r="D12" s="3753"/>
      <c r="E12" s="131" t="s">
        <v>1279</v>
      </c>
      <c r="F12" s="1749"/>
      <c r="G12" s="1749"/>
      <c r="H12" s="1749"/>
      <c r="I12" s="1365"/>
    </row>
    <row r="13" spans="1:12" ht="12.75">
      <c r="A13" s="3730"/>
      <c r="B13" s="3717"/>
      <c r="C13" s="3735"/>
      <c r="D13" s="3753"/>
      <c r="E13" s="131" t="s">
        <v>1280</v>
      </c>
      <c r="F13" s="1749"/>
      <c r="G13" s="1749"/>
      <c r="H13" s="1749"/>
      <c r="I13" s="1365"/>
    </row>
    <row r="14" spans="1:12" ht="12.75">
      <c r="A14" s="3730" t="s">
        <v>1281</v>
      </c>
      <c r="B14" s="3717">
        <v>30</v>
      </c>
      <c r="C14" s="3733">
        <v>5</v>
      </c>
      <c r="D14" s="3753">
        <v>5</v>
      </c>
      <c r="E14" s="131" t="s">
        <v>1282</v>
      </c>
      <c r="F14" s="1749"/>
      <c r="G14" s="1749"/>
      <c r="H14" s="1749"/>
      <c r="I14" s="1365"/>
    </row>
    <row r="15" spans="1:12" ht="12.75">
      <c r="A15" s="3730"/>
      <c r="B15" s="3717"/>
      <c r="C15" s="3734"/>
      <c r="D15" s="3753"/>
      <c r="E15" s="131" t="s">
        <v>1283</v>
      </c>
      <c r="F15" s="1749"/>
      <c r="G15" s="1749"/>
      <c r="H15" s="1749"/>
      <c r="I15" s="1365"/>
    </row>
    <row r="16" spans="1:12" ht="12.75">
      <c r="A16" s="3730"/>
      <c r="B16" s="3717"/>
      <c r="C16" s="3735"/>
      <c r="D16" s="3753"/>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40" t="s">
        <v>2130</v>
      </c>
      <c r="F18" s="3741"/>
      <c r="G18" s="3741"/>
      <c r="H18" s="3741"/>
      <c r="I18" s="3741"/>
      <c r="K18" s="302" t="s">
        <v>1289</v>
      </c>
      <c r="L18" s="302">
        <f>IF(C1="",'数据-汇总表'!E3,SUMIF(项目类型,C1,'数据-汇总表'!E17:E26)+SUMIF(项目类型,C1,'数据-汇总表'!I17:I26))</f>
        <v>244.44</v>
      </c>
      <c r="M18" s="302">
        <f>IF(C1="",'数据-汇总表'!E3,SUMIF(项目类型,C1,'数据-汇总表'!E17:E26))</f>
        <v>244.44</v>
      </c>
    </row>
    <row r="19" spans="1:36" ht="15">
      <c r="A19" s="1753" t="s">
        <v>1290</v>
      </c>
      <c r="B19" s="1754" t="s">
        <v>1291</v>
      </c>
      <c r="C19" s="134">
        <f ca="1">SUMIF(INDIRECT("'"&amp;C4&amp;"'"&amp;"!A:A"),结果表!B19,INDIRECT("'"&amp;C4&amp;"'"&amp;"!B:B"))</f>
        <v>1386.8548000000001</v>
      </c>
      <c r="D19" s="135">
        <f ca="1">SUMIF(INDIRECT("'"&amp;D4&amp;"'"&amp;"!A:A"),结果表!B19,INDIRECT("'"&amp;D4&amp;"'"&amp;"!B:B"))</f>
        <v>594.59569999999997</v>
      </c>
      <c r="E19" s="1753" t="s">
        <v>1292</v>
      </c>
      <c r="F19" s="1754" t="s">
        <v>1291</v>
      </c>
      <c r="G19" s="136">
        <f ca="1">ROUND(C19*$C$18+D19*$D$18,0)</f>
        <v>991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56736</v>
      </c>
      <c r="D20" s="138">
        <f ca="1">SUMIF(INDIRECT("'"&amp;D4&amp;"'"&amp;"!A:A"),结果表!B20,INDIRECT("'"&amp;D4&amp;"'"&amp;"!B:B"))</f>
        <v>24325</v>
      </c>
      <c r="E20" s="1756"/>
      <c r="F20" s="1018" t="s">
        <v>1295</v>
      </c>
      <c r="G20" s="139">
        <f ca="1">ROUND(C20*$C$18+D20*$D$18,0)</f>
        <v>40531</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1.3324332819763081</v>
      </c>
      <c r="E22" s="129"/>
      <c r="F22" s="129"/>
      <c r="G22" s="129"/>
      <c r="H22" s="129"/>
      <c r="I22" s="129"/>
    </row>
    <row r="23" spans="1:36" ht="13.5" thickBot="1">
      <c r="A23" s="1739"/>
      <c r="B23" s="1739"/>
      <c r="C23" s="1739"/>
      <c r="D23" s="1739"/>
      <c r="E23" s="129"/>
      <c r="F23" s="129"/>
      <c r="G23" s="129"/>
      <c r="H23" s="129"/>
      <c r="I23" s="129"/>
    </row>
    <row r="24" spans="1:36" ht="14.25">
      <c r="A24" s="3724" t="s">
        <v>1299</v>
      </c>
      <c r="B24" s="1754" t="s">
        <v>1291</v>
      </c>
      <c r="C24" s="136">
        <f>IF(B30=0,0,D30)</f>
        <v>0</v>
      </c>
      <c r="D24" s="1761"/>
      <c r="E24" s="129"/>
      <c r="F24" s="129"/>
      <c r="G24" s="129"/>
      <c r="H24" s="129"/>
      <c r="I24" s="129"/>
    </row>
    <row r="25" spans="1:36" ht="14.25">
      <c r="A25" s="3725"/>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40531</v>
      </c>
      <c r="D32" s="3555" t="s">
        <v>4251</v>
      </c>
      <c r="E32" s="129"/>
      <c r="F32" s="129"/>
      <c r="G32" s="129"/>
      <c r="H32" s="129"/>
      <c r="I32" s="129"/>
    </row>
    <row r="33" spans="1:15" ht="15">
      <c r="A33" s="778" t="s">
        <v>1306</v>
      </c>
      <c r="B33" s="1767"/>
      <c r="C33" s="1768" t="s">
        <v>4252</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44" t="s">
        <v>1312</v>
      </c>
      <c r="B36" s="1778" t="s">
        <v>1313</v>
      </c>
      <c r="C36" s="145"/>
      <c r="D36" s="1779"/>
      <c r="E36" s="1780"/>
      <c r="F36" s="1781"/>
      <c r="G36" s="129"/>
      <c r="H36" s="129"/>
      <c r="I36" s="129"/>
    </row>
    <row r="37" spans="1:15" ht="15.75" thickBot="1">
      <c r="A37" s="3745"/>
      <c r="B37" s="1666" t="s">
        <v>1314</v>
      </c>
      <c r="C37" s="147"/>
      <c r="D37" s="1131"/>
      <c r="E37" s="1131"/>
      <c r="F37" s="1781"/>
      <c r="G37" s="129"/>
      <c r="H37" s="129"/>
      <c r="I37" s="129"/>
    </row>
    <row r="38" spans="1:15" ht="15.75" thickBot="1">
      <c r="A38" s="3746"/>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21" t="s">
        <v>1326</v>
      </c>
      <c r="B45" s="3722"/>
      <c r="C45" s="3723"/>
      <c r="D45" s="155">
        <f ca="1">ROUND(H101*F45,0)</f>
        <v>991</v>
      </c>
      <c r="E45" s="156" t="s">
        <v>1327</v>
      </c>
      <c r="F45" s="157">
        <v>1</v>
      </c>
      <c r="G45" s="158" t="s">
        <v>1328</v>
      </c>
      <c r="H45" s="129"/>
      <c r="I45" s="129"/>
      <c r="J45" s="3799" t="s">
        <v>1329</v>
      </c>
      <c r="K45" s="3799"/>
      <c r="L45" s="3799"/>
      <c r="M45" s="3799"/>
      <c r="N45" s="3799"/>
      <c r="O45" s="3799"/>
    </row>
    <row r="46" spans="1:15" ht="14.25" customHeight="1">
      <c r="A46" s="3718" t="s">
        <v>1330</v>
      </c>
      <c r="B46" s="3719"/>
      <c r="C46" s="3719"/>
      <c r="D46" s="3719"/>
      <c r="E46" s="3719"/>
      <c r="F46" s="3719"/>
      <c r="G46" s="3720"/>
      <c r="H46" s="1797"/>
      <c r="I46" s="159"/>
      <c r="J46" s="2508">
        <v>1</v>
      </c>
      <c r="K46" s="3780" t="s">
        <v>1331</v>
      </c>
      <c r="L46" s="3780"/>
      <c r="M46" s="3800"/>
      <c r="N46" s="3800"/>
      <c r="O46" s="3800"/>
    </row>
    <row r="47" spans="1:15" ht="12" customHeight="1">
      <c r="A47" s="160" t="s">
        <v>1332</v>
      </c>
      <c r="B47" s="161"/>
      <c r="C47" s="162"/>
      <c r="D47" s="1079" t="s">
        <v>1333</v>
      </c>
      <c r="E47" s="302" t="s">
        <v>1334</v>
      </c>
      <c r="F47" s="163" t="s">
        <v>1335</v>
      </c>
      <c r="G47" s="2531" t="s">
        <v>1336</v>
      </c>
      <c r="H47" s="2532"/>
      <c r="I47" s="159"/>
      <c r="J47" s="2508">
        <v>2</v>
      </c>
      <c r="K47" s="3780" t="s">
        <v>1337</v>
      </c>
      <c r="L47" s="3780"/>
      <c r="M47" s="3801">
        <f>'数据-取费表'!B2</f>
        <v>45320</v>
      </c>
      <c r="N47" s="3801"/>
      <c r="O47" s="3801"/>
    </row>
    <row r="48" spans="1:15" ht="25.5">
      <c r="A48" s="3749" t="s">
        <v>1338</v>
      </c>
      <c r="B48" s="3732"/>
      <c r="C48" s="3732"/>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80" t="s">
        <v>1340</v>
      </c>
      <c r="L48" s="3780"/>
      <c r="M48" s="3802">
        <f ca="1">H101</f>
        <v>991</v>
      </c>
      <c r="N48" s="3802"/>
      <c r="O48" s="3802"/>
    </row>
    <row r="49" spans="1:35" ht="25.5" customHeight="1">
      <c r="A49" s="2321" t="s">
        <v>1341</v>
      </c>
      <c r="B49" s="3716" t="s">
        <v>1342</v>
      </c>
      <c r="C49" s="3716"/>
      <c r="D49" s="1582">
        <v>0</v>
      </c>
      <c r="E49" s="324" t="s">
        <v>1343</v>
      </c>
      <c r="F49" s="2409" t="s">
        <v>28</v>
      </c>
      <c r="G49" s="3786"/>
      <c r="H49" s="2298" t="s">
        <v>2133</v>
      </c>
      <c r="I49" s="2299"/>
      <c r="J49" s="2508">
        <v>4</v>
      </c>
      <c r="K49" s="3780" t="str">
        <f>IF(项目基本情况!E8="房地产抵押价值","房地产抵押价值","抵押担保权已注销时的房地产抵押价值")</f>
        <v>房地产抵押价值</v>
      </c>
      <c r="L49" s="3780"/>
      <c r="M49" s="3802">
        <f ca="1">IF(项目基本情况!E8="房地产抵押价值",H107,H109)</f>
        <v>991</v>
      </c>
      <c r="N49" s="3802"/>
      <c r="O49" s="3802"/>
    </row>
    <row r="50" spans="1:35" ht="25.5" customHeight="1">
      <c r="A50" s="2536"/>
      <c r="B50" s="3716" t="s">
        <v>1344</v>
      </c>
      <c r="C50" s="3716"/>
      <c r="D50" s="2537"/>
      <c r="E50" s="332"/>
      <c r="F50" s="2409"/>
      <c r="G50" s="3787"/>
      <c r="H50" s="2300" t="s">
        <v>2134</v>
      </c>
      <c r="I50" s="2299"/>
      <c r="J50" s="3799" t="s">
        <v>1345</v>
      </c>
      <c r="K50" s="3799"/>
      <c r="L50" s="3799"/>
      <c r="M50" s="3799"/>
      <c r="N50" s="3799"/>
      <c r="O50" s="3799"/>
    </row>
    <row r="51" spans="1:35" ht="20.45" customHeight="1">
      <c r="A51" s="2538"/>
      <c r="B51" s="3716" t="s">
        <v>1346</v>
      </c>
      <c r="C51" s="3716"/>
      <c r="D51" s="1079"/>
      <c r="E51" s="327"/>
      <c r="F51" s="2409"/>
      <c r="G51" s="3788"/>
      <c r="H51" s="2300" t="s">
        <v>2135</v>
      </c>
      <c r="I51" s="2299"/>
      <c r="J51" s="2509" t="s">
        <v>1347</v>
      </c>
      <c r="K51" s="3780" t="s">
        <v>1348</v>
      </c>
      <c r="L51" s="3780"/>
      <c r="M51" s="2509" t="s">
        <v>1349</v>
      </c>
      <c r="N51" s="2509" t="s">
        <v>1350</v>
      </c>
      <c r="O51" s="2509" t="s">
        <v>1351</v>
      </c>
    </row>
    <row r="52" spans="1:35" ht="24" customHeight="1">
      <c r="A52" s="2323" t="s">
        <v>1352</v>
      </c>
      <c r="B52" s="3716" t="s">
        <v>1353</v>
      </c>
      <c r="C52" s="3716"/>
      <c r="D52" s="1079">
        <f ca="1">ROUND(D45*'数据-取费表'!B41/(1+'数据-取费表'!C42),0)</f>
        <v>52</v>
      </c>
      <c r="E52" s="2322" t="s">
        <v>1354</v>
      </c>
      <c r="F52" s="2539">
        <f>'数据-取费表'!B41</f>
        <v>5.5000000000000007E-2</v>
      </c>
      <c r="G52" s="2540"/>
      <c r="H52" s="2529"/>
      <c r="I52" s="1798"/>
      <c r="J52" s="2508">
        <v>1</v>
      </c>
      <c r="K52" s="3781" t="s">
        <v>1355</v>
      </c>
      <c r="L52" s="3781"/>
      <c r="M52" s="2510" t="b">
        <f>D48</f>
        <v>0</v>
      </c>
      <c r="N52" s="2508" t="str">
        <f>E48</f>
        <v>销售额×税（费）率</v>
      </c>
      <c r="O52" s="2511">
        <f>F48</f>
        <v>5.5000000000000007E-2</v>
      </c>
    </row>
    <row r="53" spans="1:35" ht="12" customHeight="1">
      <c r="A53" s="2323" t="s">
        <v>1356</v>
      </c>
      <c r="B53" s="3742" t="s">
        <v>2286</v>
      </c>
      <c r="C53" s="3743"/>
      <c r="D53" s="1079">
        <f ca="1">ROUND(D45*'数据-取费表'!B41/(1+'数据-取费表'!C42),0)</f>
        <v>52</v>
      </c>
      <c r="E53" s="2322" t="s">
        <v>1354</v>
      </c>
      <c r="F53" s="2539">
        <f>'数据-取费表'!B41</f>
        <v>5.5000000000000007E-2</v>
      </c>
      <c r="G53" s="2540"/>
      <c r="H53" s="2529"/>
      <c r="I53" s="1798"/>
      <c r="J53" s="2508">
        <v>2</v>
      </c>
      <c r="K53" s="3781" t="s">
        <v>1357</v>
      </c>
      <c r="L53" s="3781"/>
      <c r="M53" s="2510">
        <f t="shared" ref="M53:O54" ca="1" si="0">D55</f>
        <v>0</v>
      </c>
      <c r="N53" s="2508" t="str">
        <f t="shared" si="0"/>
        <v>销售额×税（费）率</v>
      </c>
      <c r="O53" s="2511" t="str">
        <f t="shared" si="0"/>
        <v>免征</v>
      </c>
    </row>
    <row r="54" spans="1:35" ht="12" customHeight="1">
      <c r="A54" s="2323" t="s">
        <v>1358</v>
      </c>
      <c r="B54" s="3742" t="s">
        <v>2287</v>
      </c>
      <c r="C54" s="3743"/>
      <c r="D54" s="1079">
        <f ca="1">C68</f>
        <v>52</v>
      </c>
      <c r="E54" s="327" t="s">
        <v>1359</v>
      </c>
      <c r="F54" s="2539">
        <f>'数据-取费表'!B41</f>
        <v>5.5000000000000007E-2</v>
      </c>
      <c r="G54" s="2540"/>
      <c r="H54" s="2541"/>
      <c r="I54" s="1798"/>
      <c r="J54" s="2508">
        <v>3</v>
      </c>
      <c r="K54" s="3781" t="s">
        <v>1360</v>
      </c>
      <c r="L54" s="3781"/>
      <c r="M54" s="2510">
        <f t="shared" ca="1" si="0"/>
        <v>562</v>
      </c>
      <c r="N54" s="2508" t="str">
        <f t="shared" si="0"/>
        <v>增值额×税（费）率</v>
      </c>
      <c r="O54" s="2512" t="str">
        <f t="shared" si="0"/>
        <v>免征</v>
      </c>
    </row>
    <row r="55" spans="1:35" ht="24" customHeight="1">
      <c r="A55" s="3731" t="s">
        <v>1361</v>
      </c>
      <c r="B55" s="3732"/>
      <c r="C55" s="3732"/>
      <c r="D55" s="2312">
        <f ca="1">IF(H55="个人住宅",0,ROUND(D45*I55,0))</f>
        <v>0</v>
      </c>
      <c r="E55" s="2322" t="s">
        <v>1362</v>
      </c>
      <c r="F55" s="2539" t="str">
        <f>IF(H55="正常",I55,"免征")</f>
        <v>免征</v>
      </c>
      <c r="G55" s="2540"/>
      <c r="H55" s="2535"/>
      <c r="I55" s="165">
        <f>'数据-取费表'!B49</f>
        <v>5.0000000000000001E-4</v>
      </c>
      <c r="J55" s="2508">
        <f>IF(H59="非个人房产","",4)</f>
        <v>4</v>
      </c>
      <c r="K55" s="3781" t="str">
        <f>IF(H59="非个人房产","——","个人所得税")</f>
        <v>个人所得税</v>
      </c>
      <c r="L55" s="3781"/>
      <c r="M55" s="2513">
        <f ca="1">D59</f>
        <v>9</v>
      </c>
      <c r="N55" s="2028" t="str">
        <f>E59</f>
        <v>差额计税</v>
      </c>
      <c r="O55" s="2514">
        <f>F59</f>
        <v>0.01</v>
      </c>
    </row>
    <row r="56" spans="1:35" ht="24.75">
      <c r="A56" s="3731" t="s">
        <v>1363</v>
      </c>
      <c r="B56" s="3732"/>
      <c r="C56" s="3732"/>
      <c r="D56" s="2312">
        <f ca="1">IF(H56="个人住宅",D57,D58)</f>
        <v>562</v>
      </c>
      <c r="E56" s="2322" t="s">
        <v>1364</v>
      </c>
      <c r="F56" s="2539" t="str">
        <f>IF(H56="正常",F58,"免征")</f>
        <v>免征</v>
      </c>
      <c r="G56" s="2542" t="s">
        <v>1365</v>
      </c>
      <c r="H56" s="2543"/>
      <c r="I56" s="1799"/>
      <c r="J56" s="2508" t="str">
        <f>IF(项目基本情况!K6="上海银行",IF(J55="",4,J55+1),"")</f>
        <v/>
      </c>
      <c r="K56" s="3804" t="str">
        <f>IF(项目基本情况!K6="上海银行","其他处置费用","")</f>
        <v/>
      </c>
      <c r="L56" s="3805"/>
      <c r="M56" s="2510" t="str">
        <f>IF(项目基本情况!K6="上海银行",M69,"")</f>
        <v/>
      </c>
      <c r="N56" s="3804" t="str">
        <f>IF(项目基本情况!K6="上海银行","包含处置中涉及的律师、诉讼、拍卖、评估等费用","")</f>
        <v/>
      </c>
      <c r="O56" s="3807"/>
    </row>
    <row r="57" spans="1:35" ht="12.75">
      <c r="A57" s="2323" t="s">
        <v>1341</v>
      </c>
      <c r="B57" s="3742" t="s">
        <v>1366</v>
      </c>
      <c r="C57" s="3743"/>
      <c r="D57" s="1582">
        <v>0</v>
      </c>
      <c r="E57" s="324" t="s">
        <v>1343</v>
      </c>
      <c r="F57" s="302"/>
      <c r="G57" s="2540"/>
      <c r="H57" s="2544"/>
      <c r="I57" s="1799"/>
      <c r="J57" s="3781">
        <f>IF(AND(J55="",J56=""),4,IF(项目基本情况!K6="上海银行",结果表!J56+1,结果表!J55+1))</f>
        <v>5</v>
      </c>
      <c r="K57" s="3781" t="s">
        <v>1367</v>
      </c>
      <c r="L57" s="2515" t="s">
        <v>1368</v>
      </c>
      <c r="M57" s="2516"/>
      <c r="N57" s="2517">
        <f ca="1">SUMIF(M52:M56,"&lt;9e307")</f>
        <v>571</v>
      </c>
      <c r="O57" s="2518"/>
      <c r="P57" s="2674">
        <f ca="1">N57/M49</f>
        <v>0.57618567103935414</v>
      </c>
    </row>
    <row r="58" spans="1:35" ht="24.75">
      <c r="A58" s="2323" t="s">
        <v>1352</v>
      </c>
      <c r="B58" s="3742" t="s">
        <v>1369</v>
      </c>
      <c r="C58" s="3716"/>
      <c r="D58" s="2312">
        <f ca="1">IF(H58="转让取得",C81,C97)</f>
        <v>562</v>
      </c>
      <c r="E58" s="2322" t="s">
        <v>1364</v>
      </c>
      <c r="F58" s="302" t="s">
        <v>28</v>
      </c>
      <c r="G58" s="2540"/>
      <c r="H58" s="2543"/>
      <c r="I58" s="1799"/>
      <c r="J58" s="3781"/>
      <c r="K58" s="3781"/>
      <c r="L58" s="2515" t="s">
        <v>1370</v>
      </c>
      <c r="M58" s="2519"/>
      <c r="N58" s="2520" t="str">
        <f ca="1">NUMBERSTRING(INT(N57*10000),2)&amp;"元整"</f>
        <v>伍佰柒拾壹万元整</v>
      </c>
      <c r="O58" s="2521"/>
    </row>
    <row r="59" spans="1:35" ht="24.75" thickBot="1">
      <c r="A59" s="3784" t="s">
        <v>1371</v>
      </c>
      <c r="B59" s="3785"/>
      <c r="C59" s="3785"/>
      <c r="D59" s="2545">
        <f ca="1">IF(H59="非个人房产","——",IF(H59="个人住宅（满五唯一有凭证）",0,IF(H59="个人其他（无凭证）",ROUND(D45*F59,0),ROUND(C67*F59,0))))</f>
        <v>9</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82">
        <f>J57+1</f>
        <v>6</v>
      </c>
      <c r="K59" s="3781" t="s">
        <v>1372</v>
      </c>
      <c r="L59" s="2508" t="s">
        <v>1368</v>
      </c>
      <c r="M59" s="2522"/>
      <c r="N59" s="2523">
        <f ca="1">M49-N57</f>
        <v>420</v>
      </c>
      <c r="O59" s="2524"/>
    </row>
    <row r="60" spans="1:35" ht="12" customHeight="1">
      <c r="A60" s="1800"/>
      <c r="B60" s="1739"/>
      <c r="C60" s="1739"/>
      <c r="D60" s="1739"/>
      <c r="E60" s="1570"/>
      <c r="F60" s="1799"/>
      <c r="G60" s="1799"/>
      <c r="H60" s="1801"/>
      <c r="I60" s="129"/>
      <c r="J60" s="3783"/>
      <c r="K60" s="3781"/>
      <c r="L60" s="2515" t="s">
        <v>1370</v>
      </c>
      <c r="M60" s="2519"/>
      <c r="N60" s="2520" t="str">
        <f ca="1">NUMBERSTRING(INT(N59*10000),2)&amp;"元整"</f>
        <v>肆佰贰拾万元整</v>
      </c>
      <c r="O60" s="2521"/>
    </row>
    <row r="61" spans="1:35" ht="13.5" thickBot="1">
      <c r="A61" s="3729" t="s">
        <v>1373</v>
      </c>
      <c r="B61" s="3729"/>
      <c r="C61" s="3729"/>
      <c r="D61" s="3729"/>
      <c r="E61" s="3729"/>
      <c r="F61" s="1799"/>
      <c r="G61" s="1799"/>
      <c r="H61" s="1801"/>
      <c r="I61" s="129"/>
      <c r="J61" s="2508">
        <f>J59+1</f>
        <v>7</v>
      </c>
      <c r="K61" s="3781" t="s">
        <v>1374</v>
      </c>
      <c r="L61" s="3781"/>
      <c r="M61" s="2525"/>
      <c r="N61" s="2526">
        <f ca="1">ROUND(N59*10000/'数据-汇总表'!E3,0)</f>
        <v>3075</v>
      </c>
      <c r="O61" s="2527"/>
    </row>
    <row r="62" spans="1:35" ht="12.75">
      <c r="A62" s="3747" t="s">
        <v>1375</v>
      </c>
      <c r="B62" s="3748"/>
      <c r="C62" s="2009"/>
      <c r="D62" s="2009" t="s">
        <v>1376</v>
      </c>
      <c r="E62" s="166" t="s">
        <v>1377</v>
      </c>
      <c r="F62" s="1799"/>
      <c r="G62" s="1799"/>
      <c r="H62" s="1801"/>
      <c r="I62" s="129"/>
    </row>
    <row r="63" spans="1:35" ht="12.75">
      <c r="A63" s="173" t="s">
        <v>330</v>
      </c>
      <c r="B63" s="167" t="s">
        <v>1378</v>
      </c>
      <c r="C63" s="2549">
        <f ca="1">ROUND((C64+C65)/(1+'数据-取费表'!C42),0)</f>
        <v>944</v>
      </c>
      <c r="D63" s="167"/>
      <c r="E63" s="168"/>
      <c r="F63" s="1799"/>
      <c r="G63" s="1799"/>
      <c r="H63" s="1801"/>
      <c r="I63" s="129"/>
      <c r="J63" s="3806" t="s">
        <v>1379</v>
      </c>
      <c r="K63" s="1324" t="s">
        <v>1380</v>
      </c>
      <c r="L63" s="1324">
        <f ca="1">IF(M49&gt;10000,M49*0.5%,IF(AND(M49&gt;1000,M49&lt;=10000),M49*1%,IF(AND(M49&gt;100,M49&lt;=1000),M49*3%,IF(AND(M49&gt;10,M49&lt;=100),M49*5%,M49*8%))))</f>
        <v>29.73</v>
      </c>
      <c r="M63" s="302">
        <f ca="1">ROUND(L63,1)</f>
        <v>29.7</v>
      </c>
      <c r="N63" s="2528"/>
      <c r="Z63" s="1744"/>
      <c r="AI63" s="1745"/>
    </row>
    <row r="64" spans="1:35" ht="14.25" customHeight="1">
      <c r="A64" s="169" t="s">
        <v>325</v>
      </c>
      <c r="B64" s="170" t="s">
        <v>1381</v>
      </c>
      <c r="C64" s="2550">
        <f ca="1">D45</f>
        <v>991</v>
      </c>
      <c r="D64" s="170" t="s">
        <v>26</v>
      </c>
      <c r="E64" s="172"/>
      <c r="F64" s="1799"/>
      <c r="G64" s="1799"/>
      <c r="H64" s="1801"/>
      <c r="I64" s="129"/>
      <c r="J64" s="3806"/>
      <c r="K64" s="1324" t="s">
        <v>1382</v>
      </c>
      <c r="L64" s="1324">
        <f ca="1">IF(M49&gt;2000,M49*0.5%,IF(AND(M49&gt;1000,M49&lt;=2000),M49*0.6%,IF(AND(M49&gt;500,M49&lt;=1000),M49*0.7%,IF(AND(M49&gt;200,M49&lt;=500),M49*0.8%,IF(AND(M49&gt;100,M49&lt;=200),M49*0.9%,IF(AND(M49&gt;50,M49&lt;=100),M49*1%,IF(AND(M49&gt;20,M49&lt;=50),M49*1.5%,IF(AND(M49&gt;10,M49&lt;=20),M49*2%,IF(AND(M49&gt;1,M49&lt;=10),M49*2.5%)))))))))</f>
        <v>6.9369999999999994</v>
      </c>
      <c r="M64" s="302">
        <f t="shared" ref="M64:M65" ca="1" si="1">ROUND(L64,1)</f>
        <v>6.9</v>
      </c>
      <c r="N64" s="2529" t="s">
        <v>1383</v>
      </c>
      <c r="Z64" s="1744"/>
      <c r="AI64" s="1745"/>
    </row>
    <row r="65" spans="1:35" ht="14.25" customHeight="1">
      <c r="A65" s="169" t="s">
        <v>326</v>
      </c>
      <c r="B65" s="170" t="s">
        <v>1384</v>
      </c>
      <c r="C65" s="2551"/>
      <c r="D65" s="170"/>
      <c r="E65" s="172"/>
      <c r="F65" s="1799"/>
      <c r="G65" s="1799"/>
      <c r="H65" s="1801"/>
      <c r="I65" s="129"/>
      <c r="J65" s="3806"/>
      <c r="K65" s="1324" t="s">
        <v>1385</v>
      </c>
      <c r="L65" s="1324">
        <f ca="1">IF(M49&gt;1000,M49*0.1%,IF(AND(M49&gt;500,M49&lt;=1000),M49*0.5%,IF(AND(M49&gt;50,M49&lt;=500),M49*1%,IF(AND(M49&gt;1,M49&lt;=50),M49*1.5%))))</f>
        <v>4.9550000000000001</v>
      </c>
      <c r="M65" s="302">
        <f t="shared" ca="1" si="1"/>
        <v>5</v>
      </c>
      <c r="N65" s="2529" t="s">
        <v>1383</v>
      </c>
      <c r="Z65" s="1744"/>
      <c r="AI65" s="1745"/>
    </row>
    <row r="66" spans="1:35" ht="14.25" customHeight="1">
      <c r="A66" s="173" t="s">
        <v>327</v>
      </c>
      <c r="B66" s="174" t="s">
        <v>1386</v>
      </c>
      <c r="C66" s="2552"/>
      <c r="D66" s="174" t="s">
        <v>26</v>
      </c>
      <c r="E66" s="1330" t="s">
        <v>671</v>
      </c>
      <c r="F66" s="1799"/>
      <c r="G66" s="1799"/>
      <c r="H66" s="1801"/>
      <c r="I66" s="129"/>
      <c r="J66" s="3806"/>
      <c r="K66" s="1324" t="s">
        <v>1387</v>
      </c>
      <c r="L66" s="1324">
        <f ca="1">M49*0.5%</f>
        <v>4.9550000000000001</v>
      </c>
      <c r="M66" s="302">
        <f ca="1">IF(L66&gt;0.5,0.5,ROUND(L66,0))</f>
        <v>0.5</v>
      </c>
      <c r="N66" s="2529" t="s">
        <v>1388</v>
      </c>
      <c r="Z66" s="1744"/>
      <c r="AI66" s="1745"/>
    </row>
    <row r="67" spans="1:35" ht="14.25" customHeight="1">
      <c r="A67" s="173" t="s">
        <v>328</v>
      </c>
      <c r="B67" s="174" t="s">
        <v>1389</v>
      </c>
      <c r="C67" s="2553">
        <f ca="1">C63-C66</f>
        <v>944</v>
      </c>
      <c r="D67" s="170" t="s">
        <v>26</v>
      </c>
      <c r="E67" s="172"/>
      <c r="F67" s="1799"/>
      <c r="G67" s="1799"/>
      <c r="H67" s="1801"/>
      <c r="I67" s="129"/>
      <c r="J67" s="3806"/>
      <c r="K67" s="1324" t="s">
        <v>1390</v>
      </c>
      <c r="L67" s="1324">
        <f ca="1">IF(M49&gt;=10000,(8.25+(M49-10000)*0.01%),IF(AND(M49&gt;=8000,M49&lt;10000),(7.85+(M49-8000)*0.02%),IF(AND(M49&gt;=5000,M49&lt;8000),(6.65+(M49-5000)*0.04%),IF(AND(M49&gt;=2000,M49&lt;5000),(4.25+(PM49-2000)*0.08%),IF(AND(M49&gt;=1000,M49&lt;2000),(2.75+(M49-1000)*0.15%),IF(AND(M49&gt;=100,M49&lt;1000),(0.5+(M49-100)*0.25%),IF(AND(M49&gt;0,M49&lt;100),M49*0.5%)))))))</f>
        <v>2.7275</v>
      </c>
      <c r="M67" s="302">
        <f ca="1">ROUND(L67*0.9,1)</f>
        <v>2.5</v>
      </c>
      <c r="N67" s="2528"/>
      <c r="Z67" s="1744"/>
      <c r="AI67" s="1745"/>
    </row>
    <row r="68" spans="1:35" ht="14.25" customHeight="1" thickBot="1">
      <c r="A68" s="176" t="s">
        <v>329</v>
      </c>
      <c r="B68" s="177" t="s">
        <v>1391</v>
      </c>
      <c r="C68" s="2554">
        <f ca="1">IF(C67&lt;=0,0,ROUND(C67*D68,0))</f>
        <v>52</v>
      </c>
      <c r="D68" s="2555">
        <f>'数据-取费表'!B41</f>
        <v>5.5000000000000007E-2</v>
      </c>
      <c r="E68" s="178"/>
      <c r="F68" s="1799"/>
      <c r="G68" s="1799"/>
      <c r="H68" s="1801"/>
      <c r="I68" s="129"/>
      <c r="J68" s="3806"/>
      <c r="K68" s="1324" t="s">
        <v>1392</v>
      </c>
      <c r="L68" s="1324">
        <f ca="1">IF(M49&gt;10000,M49*0.5%,IF(AND(M49&gt;5000,M49&lt;=10000),M49*1%,IF(AND(M49&gt;1000,M49&lt;=5000),M49*2%,IF(AND(M49&gt;200,M49&lt;=1000),M49*3%,M49*5%))))</f>
        <v>29.73</v>
      </c>
      <c r="M68" s="302">
        <f ca="1">ROUND(L68,1)</f>
        <v>29.7</v>
      </c>
      <c r="N68" s="2528"/>
      <c r="Z68" s="1744"/>
      <c r="AI68" s="1745"/>
    </row>
    <row r="69" spans="1:35" s="1764" customFormat="1" ht="16.5" customHeight="1">
      <c r="A69" s="1802"/>
      <c r="B69" s="1803"/>
      <c r="C69" s="1804"/>
      <c r="D69" s="1805"/>
      <c r="E69" s="1806"/>
      <c r="F69" s="1570"/>
      <c r="G69" s="1570"/>
      <c r="H69" s="1569"/>
      <c r="I69" s="1739"/>
      <c r="J69" s="3806"/>
      <c r="K69" s="1324" t="s">
        <v>1393</v>
      </c>
      <c r="L69" s="1324"/>
      <c r="M69" s="302">
        <f ca="1">ROUND(SUM(M63:M68),0)</f>
        <v>74</v>
      </c>
      <c r="N69" s="2530">
        <f ca="1">M69/M49</f>
        <v>7.4672048435923316E-2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8" t="s">
        <v>1394</v>
      </c>
      <c r="B70" s="3769"/>
      <c r="C70" s="3769"/>
      <c r="D70" s="3769"/>
      <c r="E70" s="3769"/>
      <c r="F70" s="3769"/>
      <c r="G70" s="3769"/>
      <c r="H70" s="376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47" t="s">
        <v>1375</v>
      </c>
      <c r="B71" s="3748"/>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944</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5</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42" t="s">
        <v>1402</v>
      </c>
      <c r="F76" s="3716"/>
      <c r="G76" s="3716"/>
      <c r="H76" s="376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5</v>
      </c>
      <c r="D78" s="2562">
        <f>'数据-取费表'!B43</f>
        <v>5.000000000000001E-3</v>
      </c>
      <c r="E78" s="3726" t="s">
        <v>1406</v>
      </c>
      <c r="F78" s="3727"/>
      <c r="G78" s="3727"/>
      <c r="H78" s="373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939</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187.8</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562</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8" t="s">
        <v>1410</v>
      </c>
      <c r="B83" s="3769"/>
      <c r="C83" s="3769"/>
      <c r="D83" s="3769"/>
      <c r="E83" s="3769"/>
      <c r="F83" s="3769"/>
      <c r="G83" s="3769"/>
      <c r="H83" s="376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47" t="s">
        <v>1375</v>
      </c>
      <c r="B84" s="3748"/>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944</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5</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808" t="s">
        <v>2128</v>
      </c>
      <c r="H90" s="3809"/>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6" t="s">
        <v>1419</v>
      </c>
      <c r="F91" s="3727"/>
      <c r="G91" s="372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6" t="s">
        <v>1422</v>
      </c>
      <c r="F92" s="3727"/>
      <c r="G92" s="3727"/>
      <c r="H92" s="3736"/>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5</v>
      </c>
      <c r="D93" s="2562">
        <f>'数据-取费表'!B43</f>
        <v>5.000000000000001E-3</v>
      </c>
      <c r="E93" s="3726" t="s">
        <v>1406</v>
      </c>
      <c r="F93" s="3727"/>
      <c r="G93" s="3727"/>
      <c r="H93" s="373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37" t="s">
        <v>1426</v>
      </c>
      <c r="F94" s="3738"/>
      <c r="G94" s="3738"/>
      <c r="H94" s="373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939</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187.8</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562</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0" t="s">
        <v>1428</v>
      </c>
      <c r="B100" s="3711"/>
      <c r="C100" s="3711"/>
      <c r="D100" s="3728"/>
      <c r="E100" s="3711" t="s">
        <v>1429</v>
      </c>
      <c r="F100" s="3711"/>
      <c r="G100" s="3711"/>
      <c r="H100" s="3728"/>
      <c r="I100" s="129"/>
    </row>
    <row r="101" spans="1:35" ht="18.75" customHeight="1">
      <c r="A101" s="3789" t="s">
        <v>1430</v>
      </c>
      <c r="B101" s="3790"/>
      <c r="C101" s="2570" t="str">
        <f>C4</f>
        <v>比较法-商业</v>
      </c>
      <c r="D101" s="2571" t="str">
        <f>D4</f>
        <v>收益法商</v>
      </c>
      <c r="E101" s="3803" t="s">
        <v>1431</v>
      </c>
      <c r="F101" s="3760"/>
      <c r="G101" s="1818" t="s">
        <v>1432</v>
      </c>
      <c r="H101" s="2580">
        <f ca="1">H118</f>
        <v>991</v>
      </c>
      <c r="I101" s="129"/>
    </row>
    <row r="102" spans="1:35" ht="18.75" customHeight="1">
      <c r="A102" s="3762" t="s">
        <v>1433</v>
      </c>
      <c r="B102" s="2569" t="s">
        <v>1432</v>
      </c>
      <c r="C102" s="2570">
        <f ca="1">IF(D32="楼面单价",ROUND(C19,0),C19)</f>
        <v>1387</v>
      </c>
      <c r="D102" s="2571">
        <f ca="1">IF(D32="楼面单价",ROUND(D19,0),D19)</f>
        <v>595</v>
      </c>
      <c r="E102" s="3803"/>
      <c r="F102" s="3760"/>
      <c r="G102" s="1818" t="s">
        <v>1434</v>
      </c>
      <c r="H102" s="2540">
        <f ca="1">I118</f>
        <v>40531</v>
      </c>
      <c r="I102" s="129"/>
    </row>
    <row r="103" spans="1:35" ht="42.75" customHeight="1">
      <c r="A103" s="3762"/>
      <c r="B103" s="2569" t="s">
        <v>1434</v>
      </c>
      <c r="C103" s="2572">
        <f ca="1">C20</f>
        <v>56736</v>
      </c>
      <c r="D103" s="2573">
        <f ca="1">D20</f>
        <v>24325</v>
      </c>
      <c r="E103" s="3797" t="s">
        <v>1435</v>
      </c>
      <c r="F103" s="3798"/>
      <c r="G103" s="1819" t="s">
        <v>1436</v>
      </c>
      <c r="H103" s="2580">
        <f>IF(D36="正常操作",H104+H105+H106,H105+H106)</f>
        <v>0</v>
      </c>
      <c r="I103" s="129"/>
    </row>
    <row r="104" spans="1:35" ht="18.75" customHeight="1">
      <c r="A104" s="3762" t="s">
        <v>1437</v>
      </c>
      <c r="B104" s="2574" t="s">
        <v>1432</v>
      </c>
      <c r="C104" s="2575">
        <f ca="1">H118</f>
        <v>991</v>
      </c>
      <c r="D104" s="2576"/>
      <c r="E104" s="1666" t="s">
        <v>1438</v>
      </c>
      <c r="F104" s="1658"/>
      <c r="G104" s="1819" t="s">
        <v>1436</v>
      </c>
      <c r="H104" s="2581">
        <f>IF(D36="同一抵押权人同一抵押物续贷",C36&amp;"（续贷，未扣减，详见特别提示）",C36)</f>
        <v>0</v>
      </c>
      <c r="I104" s="129"/>
    </row>
    <row r="105" spans="1:35" ht="18.75" customHeight="1" thickBot="1">
      <c r="A105" s="3763"/>
      <c r="B105" s="2577" t="s">
        <v>1434</v>
      </c>
      <c r="C105" s="2578">
        <f ca="1">I118</f>
        <v>40531</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9" t="str">
        <f>IF(项目基本情况!E8="已注销","——","3.房地产抵押价值")</f>
        <v>3.房地产抵押价值</v>
      </c>
      <c r="F107" s="3760"/>
      <c r="G107" s="1818" t="s">
        <v>1432</v>
      </c>
      <c r="H107" s="2580">
        <f ca="1">IF(E107="——","——",H101-H103)</f>
        <v>991</v>
      </c>
      <c r="I107" s="129"/>
    </row>
    <row r="108" spans="1:35" ht="18.75" customHeight="1">
      <c r="A108" s="129"/>
      <c r="B108" s="129"/>
      <c r="C108" s="129"/>
      <c r="D108" s="129"/>
      <c r="E108" s="3759"/>
      <c r="F108" s="3760"/>
      <c r="G108" s="1818" t="s">
        <v>1434</v>
      </c>
      <c r="H108" s="2540">
        <f ca="1">IF(H107=H101,H102,ROUND(H107*10000/'数据-汇总表'!E3,0))</f>
        <v>40531</v>
      </c>
      <c r="I108" s="129"/>
    </row>
    <row r="109" spans="1:35" ht="18.75" customHeight="1">
      <c r="A109" s="129"/>
      <c r="B109" s="129"/>
      <c r="C109" s="129"/>
      <c r="D109" s="129"/>
      <c r="E109" s="3759" t="str">
        <f>IF(项目基本情况!E8="已注销及未注销","4.抵押担保权已注销时的房地产抵押价值",IF(项目基本情况!E8="已注销","3.抵押担保权已注销时的房地产抵押价值","——"))</f>
        <v>——</v>
      </c>
      <c r="F109" s="3760"/>
      <c r="G109" s="1818" t="s">
        <v>1432</v>
      </c>
      <c r="H109" s="2583" t="str">
        <f>IF(E109="——","——",H101-H105-H106)</f>
        <v>——</v>
      </c>
      <c r="I109" s="129"/>
    </row>
    <row r="110" spans="1:35" ht="18.75" customHeight="1">
      <c r="A110" s="129"/>
      <c r="B110" s="129"/>
      <c r="C110" s="129"/>
      <c r="D110" s="129"/>
      <c r="E110" s="3759"/>
      <c r="F110" s="3760"/>
      <c r="G110" s="1818" t="s">
        <v>1434</v>
      </c>
      <c r="H110" s="2540" t="str">
        <f>IF(H109="——","——",ROUND(H109*10000/'数据-汇总表'!E3,0))</f>
        <v>——</v>
      </c>
      <c r="I110" s="129"/>
    </row>
    <row r="111" spans="1:35" ht="18.75" customHeight="1">
      <c r="A111" s="129"/>
      <c r="B111" s="129"/>
      <c r="C111" s="129"/>
      <c r="D111" s="129"/>
      <c r="E111" s="3791" t="str">
        <f>IF(项目基本情况!E9="抵押净值",IF(OR(项目基本情况!E8="已注销",项目基本情况!E8="房地产抵押价值"),"4.抵押净值","5.抵押净值"),"——")</f>
        <v>——</v>
      </c>
      <c r="F111" s="3761"/>
      <c r="G111" s="1818" t="s">
        <v>1432</v>
      </c>
      <c r="H111" s="2580" t="str">
        <f>IF(E111="——","——",N59)</f>
        <v>——</v>
      </c>
      <c r="I111" s="129"/>
    </row>
    <row r="112" spans="1:35" ht="18.75" customHeight="1" thickBot="1">
      <c r="A112" s="129"/>
      <c r="B112" s="129"/>
      <c r="C112" s="129"/>
      <c r="D112" s="129"/>
      <c r="E112" s="3792"/>
      <c r="F112" s="3793"/>
      <c r="G112" s="1821" t="s">
        <v>1434</v>
      </c>
      <c r="H112" s="2584" t="str">
        <f>IF(E111="——","——",N61)</f>
        <v>——</v>
      </c>
      <c r="I112" s="129"/>
    </row>
    <row r="113" spans="1:27" ht="18.75" customHeight="1">
      <c r="A113" s="129"/>
      <c r="B113" s="129"/>
      <c r="C113" s="129"/>
      <c r="D113" s="129"/>
      <c r="E113" s="3764" t="s">
        <v>1440</v>
      </c>
      <c r="F113" s="3764"/>
      <c r="G113" s="3764"/>
      <c r="H113" s="3764"/>
      <c r="I113" s="129"/>
    </row>
    <row r="114" spans="1:27" ht="3.75" customHeight="1">
      <c r="A114" s="1739"/>
      <c r="B114" s="1739"/>
      <c r="C114" s="1739"/>
      <c r="D114" s="1739"/>
      <c r="E114" s="1800"/>
      <c r="F114" s="1800"/>
      <c r="G114" s="1800"/>
      <c r="H114" s="1800"/>
      <c r="I114" s="1739"/>
    </row>
    <row r="115" spans="1:27" ht="18.75" customHeight="1">
      <c r="A115" s="3774" t="s">
        <v>1442</v>
      </c>
      <c r="B115" s="3775"/>
      <c r="C115" s="3775"/>
      <c r="D115" s="3775"/>
      <c r="E115" s="3775"/>
      <c r="F115" s="3775"/>
      <c r="G115" s="3775"/>
      <c r="H115" s="3775"/>
      <c r="I115" s="3776"/>
    </row>
    <row r="116" spans="1:27" ht="27" customHeight="1">
      <c r="A116" s="3730" t="s">
        <v>1443</v>
      </c>
      <c r="B116" s="3765" t="s">
        <v>1444</v>
      </c>
      <c r="C116" s="3765" t="s">
        <v>1445</v>
      </c>
      <c r="D116" s="3778" t="s">
        <v>1446</v>
      </c>
      <c r="E116" s="3779"/>
      <c r="F116" s="3773" t="s">
        <v>1447</v>
      </c>
      <c r="G116" s="3773"/>
      <c r="H116" s="3730" t="s">
        <v>1448</v>
      </c>
      <c r="I116" s="3730"/>
    </row>
    <row r="117" spans="1:27" ht="18.75" customHeight="1">
      <c r="A117" s="3730"/>
      <c r="B117" s="3766"/>
      <c r="C117" s="3766"/>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244.44</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991</v>
      </c>
      <c r="I118" s="2317">
        <f ca="1">ROUND(IF(D32="楼面单价",C32,H118*10000/B118),0)</f>
        <v>40531</v>
      </c>
    </row>
    <row r="119" spans="1:27" ht="18.75" customHeight="1">
      <c r="A119" s="3730" t="s">
        <v>1452</v>
      </c>
      <c r="B119" s="3730"/>
      <c r="C119" s="3730"/>
      <c r="D119" s="3770" t="str">
        <f>NUMBERSTRING(INT(D118*10000),2)&amp;"元整"</f>
        <v>零元整</v>
      </c>
      <c r="E119" s="3772"/>
      <c r="F119" s="3770" t="str">
        <f>NUMBERSTRING(INT(F118*10000),2)&amp;"元整"</f>
        <v>零元整</v>
      </c>
      <c r="G119" s="3772"/>
      <c r="H119" s="3770" t="str">
        <f ca="1">NUMBERSTRING(INT(H118*10000),2)&amp;"元整"</f>
        <v>玖佰玖拾壹万元整</v>
      </c>
      <c r="I119" s="3772"/>
    </row>
    <row r="120" spans="1:27" ht="18.75" customHeight="1">
      <c r="A120" s="3794" t="str">
        <f>IF(项目基本情况!B9="房地产市场价值","",MID(E103,3,LEN(E103)-2))</f>
        <v>估价师知悉的法定优先受偿款</v>
      </c>
      <c r="B120" s="3795"/>
      <c r="C120" s="3796"/>
      <c r="D120" s="3794">
        <f>H103</f>
        <v>0</v>
      </c>
      <c r="E120" s="3795"/>
      <c r="F120" s="3795"/>
      <c r="G120" s="3795"/>
      <c r="H120" s="3795"/>
      <c r="I120" s="3796"/>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70" t="s">
        <v>1452</v>
      </c>
      <c r="B121" s="3771"/>
      <c r="C121" s="3772"/>
      <c r="D121" s="3770" t="str">
        <f>IF(D120=0,"零元整",NUMBERSTRING(INT(D120*10000),2)&amp;"元整")</f>
        <v>零元整</v>
      </c>
      <c r="E121" s="3771"/>
      <c r="F121" s="3771"/>
      <c r="G121" s="3771"/>
      <c r="H121" s="3771"/>
      <c r="I121" s="3772"/>
      <c r="AA121" s="720"/>
    </row>
    <row r="122" spans="1:27" ht="18.75" customHeight="1">
      <c r="A122" s="3761" t="str">
        <f>IF(项目基本情况!B9="房地产市场价值","",MID(E107,3,LEN(E107)-2))</f>
        <v>房地产抵押价值</v>
      </c>
      <c r="B122" s="3761"/>
      <c r="C122" s="3761"/>
      <c r="D122" s="3794">
        <f ca="1">H107</f>
        <v>991</v>
      </c>
      <c r="E122" s="3795"/>
      <c r="F122" s="3795"/>
      <c r="G122" s="3795"/>
      <c r="H122" s="3795"/>
      <c r="I122" s="3796"/>
      <c r="AA122" s="720"/>
    </row>
    <row r="123" spans="1:27" ht="18.75" customHeight="1">
      <c r="A123" s="3730" t="s">
        <v>1452</v>
      </c>
      <c r="B123" s="3730"/>
      <c r="C123" s="3730"/>
      <c r="D123" s="3770" t="str">
        <f ca="1">NUMBERSTRING(INT(D122*10000),2)&amp;"元整"</f>
        <v>玖佰玖拾壹万元整</v>
      </c>
      <c r="E123" s="3771"/>
      <c r="F123" s="3771"/>
      <c r="G123" s="3771"/>
      <c r="H123" s="3771"/>
      <c r="I123" s="3772"/>
      <c r="AA123" s="720"/>
    </row>
    <row r="124" spans="1:27" ht="18.75" customHeight="1">
      <c r="A124" s="3761" t="str">
        <f>IF(项目基本情况!B9="房地产市场价值","",MID(E109,3,LEN(E109)-2))</f>
        <v/>
      </c>
      <c r="B124" s="3761"/>
      <c r="C124" s="3761"/>
      <c r="D124" s="3794" t="str">
        <f>H109</f>
        <v>——</v>
      </c>
      <c r="E124" s="3795"/>
      <c r="F124" s="3795"/>
      <c r="G124" s="3795"/>
      <c r="H124" s="3795"/>
      <c r="I124" s="3796"/>
      <c r="AA124" s="720"/>
    </row>
    <row r="125" spans="1:27" ht="18.75" customHeight="1">
      <c r="A125" s="3730" t="s">
        <v>1452</v>
      </c>
      <c r="B125" s="3730"/>
      <c r="C125" s="3730"/>
      <c r="D125" s="3770" t="e">
        <f>NUMBERSTRING(INT(D124*10000),2)&amp;"元整"</f>
        <v>#VALUE!</v>
      </c>
      <c r="E125" s="3771"/>
      <c r="F125" s="3771"/>
      <c r="G125" s="3771"/>
      <c r="H125" s="3771"/>
      <c r="I125" s="3772"/>
      <c r="AA125" s="720"/>
    </row>
    <row r="126" spans="1:27" ht="18.75" customHeight="1">
      <c r="A126" s="3761" t="str">
        <f>IF(项目基本情况!B9="房地产市场价值","",MID(E111,3,LEN(E111)-2))</f>
        <v/>
      </c>
      <c r="B126" s="3761"/>
      <c r="C126" s="3761"/>
      <c r="D126" s="3794" t="str">
        <f>H111</f>
        <v>——</v>
      </c>
      <c r="E126" s="3795"/>
      <c r="F126" s="3795"/>
      <c r="G126" s="3795"/>
      <c r="H126" s="3795"/>
      <c r="I126" s="3796"/>
      <c r="AA126" s="720"/>
    </row>
    <row r="127" spans="1:27" ht="18.75" customHeight="1">
      <c r="A127" s="3730" t="s">
        <v>1452</v>
      </c>
      <c r="B127" s="3730"/>
      <c r="C127" s="3730"/>
      <c r="D127" s="3770" t="e">
        <f>NUMBERSTRING(INT(D126*10000),2)&amp;"元整"</f>
        <v>#VALUE!</v>
      </c>
      <c r="E127" s="3771"/>
      <c r="F127" s="3771"/>
      <c r="G127" s="3771"/>
      <c r="H127" s="3771"/>
      <c r="I127" s="3772"/>
      <c r="AA127" s="720"/>
    </row>
    <row r="128" spans="1:27" ht="21.75" customHeight="1">
      <c r="A128" s="3777" t="s">
        <v>1453</v>
      </c>
      <c r="B128" s="3777"/>
      <c r="C128" s="3777"/>
      <c r="D128" s="3777"/>
      <c r="E128" s="3777"/>
      <c r="F128" s="3777"/>
      <c r="G128" s="3777"/>
      <c r="H128" s="3777"/>
      <c r="I128" s="377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t="e">
        <f>IF(E1="项目模式",IF(C2="——",ROUND(C49*D3/10000,0),ROUND(C49*D3/10000,0)-D2),IF(E1="单套模式",IF(C2="——",ROUND(C49*D3/10000,4),ROUND(C49*D3/10000,4)-D2)))</f>
        <v>#DIV/0!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t="e">
        <f>IF(C2="——",C49,ROUND(B2*10000/D3,0))</f>
        <v>#DIV/0!</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28" t="s">
        <v>1667</v>
      </c>
      <c r="D4" s="3829"/>
      <c r="E4" s="3830" t="s">
        <v>1668</v>
      </c>
      <c r="F4" s="3831"/>
      <c r="G4" s="3828" t="s">
        <v>1669</v>
      </c>
      <c r="H4" s="3829"/>
      <c r="I4" s="3828" t="s">
        <v>1670</v>
      </c>
      <c r="J4" s="3829"/>
      <c r="K4" s="1880" t="s">
        <v>1671</v>
      </c>
      <c r="L4" s="2699"/>
      <c r="M4" s="2700"/>
      <c r="N4" s="2700"/>
      <c r="O4" s="2700"/>
      <c r="P4" s="3832" t="s">
        <v>1672</v>
      </c>
      <c r="Q4" s="3833"/>
      <c r="R4" s="3838" t="s">
        <v>1668</v>
      </c>
      <c r="S4" s="3839"/>
      <c r="T4" s="3838" t="s">
        <v>1669</v>
      </c>
      <c r="U4" s="3839"/>
      <c r="V4" s="3844" t="s">
        <v>1670</v>
      </c>
      <c r="W4" s="3844"/>
      <c r="X4" s="1347"/>
      <c r="Y4" s="3838" t="s">
        <v>1672</v>
      </c>
      <c r="Z4" s="3839"/>
      <c r="AA4" s="3825" t="s">
        <v>1668</v>
      </c>
      <c r="AB4" s="3825" t="s">
        <v>1669</v>
      </c>
      <c r="AC4" s="3825" t="s">
        <v>1670</v>
      </c>
    </row>
    <row r="5" spans="1:29" ht="15">
      <c r="A5" s="358"/>
      <c r="B5" s="359"/>
      <c r="C5" s="3852" t="s">
        <v>1673</v>
      </c>
      <c r="D5" s="3848"/>
      <c r="E5" s="3855" t="s">
        <v>3462</v>
      </c>
      <c r="F5" s="3856"/>
      <c r="G5" s="3847" t="s">
        <v>3516</v>
      </c>
      <c r="H5" s="3848"/>
      <c r="I5" s="3847" t="s">
        <v>3436</v>
      </c>
      <c r="J5" s="3848"/>
      <c r="K5" s="1881"/>
      <c r="L5" s="2699"/>
      <c r="M5" s="2700"/>
      <c r="N5" s="2700"/>
      <c r="O5" s="2700"/>
      <c r="P5" s="3834"/>
      <c r="Q5" s="3835"/>
      <c r="R5" s="3840"/>
      <c r="S5" s="3841"/>
      <c r="T5" s="3840"/>
      <c r="U5" s="3841"/>
      <c r="V5" s="3844"/>
      <c r="W5" s="3844"/>
      <c r="X5" s="1347"/>
      <c r="Y5" s="3840"/>
      <c r="Z5" s="3841"/>
      <c r="AA5" s="3826"/>
      <c r="AB5" s="3826"/>
      <c r="AC5" s="3826"/>
    </row>
    <row r="6" spans="1:29" ht="15.75" thickBot="1">
      <c r="A6" s="360"/>
      <c r="B6" s="361"/>
      <c r="C6" s="3845" t="s">
        <v>1677</v>
      </c>
      <c r="D6" s="3846"/>
      <c r="E6" s="3853" t="s">
        <v>1677</v>
      </c>
      <c r="F6" s="3854"/>
      <c r="G6" s="3845" t="s">
        <v>1677</v>
      </c>
      <c r="H6" s="3846"/>
      <c r="I6" s="3845" t="s">
        <v>1677</v>
      </c>
      <c r="J6" s="3846"/>
      <c r="K6" s="1881" t="s">
        <v>1678</v>
      </c>
      <c r="L6" s="2699"/>
      <c r="M6" s="2700"/>
      <c r="N6" s="2700"/>
      <c r="O6" s="2700"/>
      <c r="P6" s="3836"/>
      <c r="Q6" s="3837"/>
      <c r="R6" s="3840"/>
      <c r="S6" s="3841"/>
      <c r="T6" s="3842"/>
      <c r="U6" s="3843"/>
      <c r="V6" s="3844"/>
      <c r="W6" s="3844"/>
      <c r="X6" s="1347"/>
      <c r="Y6" s="3842"/>
      <c r="Z6" s="3843"/>
      <c r="AA6" s="3827"/>
      <c r="AB6" s="3827"/>
      <c r="AC6" s="3827"/>
    </row>
    <row r="7" spans="1:29" s="108" customFormat="1" ht="15.75" thickBot="1">
      <c r="A7" s="362" t="s">
        <v>1679</v>
      </c>
      <c r="B7" s="363"/>
      <c r="C7" s="364">
        <f>'数据-取费表'!B2</f>
        <v>45320</v>
      </c>
      <c r="D7" s="365">
        <v>100</v>
      </c>
      <c r="E7" s="366">
        <v>45139</v>
      </c>
      <c r="F7" s="367">
        <f>SUMIF(58:58,YEAR(E7)&amp;"-"&amp;MONTH(E7),59:59)</f>
        <v>0</v>
      </c>
      <c r="G7" s="366">
        <v>45139</v>
      </c>
      <c r="H7" s="365">
        <f>SUMIF(58:58,YEAR(G7)&amp;"-"&amp;MONTH(G7),59:59)</f>
        <v>0</v>
      </c>
      <c r="I7" s="366">
        <v>45139</v>
      </c>
      <c r="J7" s="365">
        <f>SUMIF(58:58,YEAR(I7)&amp;"-"&amp;MONTH(I7),59:59)</f>
        <v>0</v>
      </c>
      <c r="K7" s="1882"/>
      <c r="L7" s="2701"/>
      <c r="M7" s="2702"/>
      <c r="N7" s="2702"/>
      <c r="O7" s="2702"/>
      <c r="P7" s="3849" t="s">
        <v>1680</v>
      </c>
      <c r="Q7" s="3851"/>
      <c r="R7" s="696" t="s">
        <v>20</v>
      </c>
      <c r="S7" s="697">
        <f t="shared" ref="S7:S15" si="0">F7</f>
        <v>0</v>
      </c>
      <c r="T7" s="696" t="s">
        <v>20</v>
      </c>
      <c r="U7" s="697">
        <f t="shared" ref="U7:U15" si="1">H7</f>
        <v>0</v>
      </c>
      <c r="V7" s="696" t="s">
        <v>20</v>
      </c>
      <c r="W7" s="697">
        <f t="shared" ref="W7:W15" si="2">J7</f>
        <v>0</v>
      </c>
      <c r="X7" s="698"/>
      <c r="Y7" s="3849" t="s">
        <v>1680</v>
      </c>
      <c r="Z7" s="3850"/>
      <c r="AA7" s="699" t="e">
        <f>D7/F7</f>
        <v>#DIV/0!</v>
      </c>
      <c r="AB7" s="699" t="e">
        <f>D7/H7</f>
        <v>#DIV/0!</v>
      </c>
      <c r="AC7" s="699" t="e">
        <f>D7/J7</f>
        <v>#DIV/0!</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49" t="s">
        <v>1683</v>
      </c>
      <c r="Q8" s="3850"/>
      <c r="R8" s="696" t="s">
        <v>20</v>
      </c>
      <c r="S8" s="697">
        <f t="shared" si="0"/>
        <v>100</v>
      </c>
      <c r="T8" s="696" t="s">
        <v>20</v>
      </c>
      <c r="U8" s="697">
        <f t="shared" si="1"/>
        <v>100</v>
      </c>
      <c r="V8" s="696" t="s">
        <v>20</v>
      </c>
      <c r="W8" s="697">
        <f t="shared" si="2"/>
        <v>100</v>
      </c>
      <c r="X8" s="698"/>
      <c r="Y8" s="3849" t="s">
        <v>1683</v>
      </c>
      <c r="Z8" s="3850"/>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24" t="s">
        <v>1686</v>
      </c>
      <c r="Q9" s="1335" t="str">
        <f t="shared" ref="Q9:Q15" si="6">B9</f>
        <v>用途</v>
      </c>
      <c r="R9" s="696" t="s">
        <v>14</v>
      </c>
      <c r="S9" s="697">
        <f t="shared" si="0"/>
        <v>100</v>
      </c>
      <c r="T9" s="696" t="s">
        <v>14</v>
      </c>
      <c r="U9" s="697">
        <f t="shared" si="1"/>
        <v>100</v>
      </c>
      <c r="V9" s="696" t="s">
        <v>14</v>
      </c>
      <c r="W9" s="697">
        <f t="shared" si="2"/>
        <v>100</v>
      </c>
      <c r="X9" s="698"/>
      <c r="Y9" s="3717"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24"/>
      <c r="Q10" s="1335" t="str">
        <f t="shared" si="6"/>
        <v>土地使用年限（年）</v>
      </c>
      <c r="R10" s="696" t="s">
        <v>14</v>
      </c>
      <c r="S10" s="697">
        <f t="shared" si="0"/>
        <v>100</v>
      </c>
      <c r="T10" s="696" t="s">
        <v>14</v>
      </c>
      <c r="U10" s="697">
        <f t="shared" si="1"/>
        <v>100</v>
      </c>
      <c r="V10" s="696" t="s">
        <v>14</v>
      </c>
      <c r="W10" s="697">
        <f t="shared" si="2"/>
        <v>100</v>
      </c>
      <c r="X10" s="698"/>
      <c r="Y10" s="3717"/>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24"/>
      <c r="Q11" s="1335" t="str">
        <f t="shared" si="6"/>
        <v>容积率</v>
      </c>
      <c r="R11" s="696" t="s">
        <v>18</v>
      </c>
      <c r="S11" s="697">
        <f t="shared" si="0"/>
        <v>100</v>
      </c>
      <c r="T11" s="696" t="s">
        <v>18</v>
      </c>
      <c r="U11" s="697">
        <f t="shared" si="1"/>
        <v>100</v>
      </c>
      <c r="V11" s="696" t="s">
        <v>18</v>
      </c>
      <c r="W11" s="697">
        <f t="shared" si="2"/>
        <v>100</v>
      </c>
      <c r="X11" s="698"/>
      <c r="Y11" s="3717"/>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24"/>
      <c r="Q12" s="1335">
        <f t="shared" si="6"/>
        <v>111</v>
      </c>
      <c r="R12" s="696" t="s">
        <v>18</v>
      </c>
      <c r="S12" s="697">
        <f t="shared" si="0"/>
        <v>100</v>
      </c>
      <c r="T12" s="696" t="s">
        <v>18</v>
      </c>
      <c r="U12" s="697">
        <f t="shared" si="1"/>
        <v>100</v>
      </c>
      <c r="V12" s="696" t="s">
        <v>18</v>
      </c>
      <c r="W12" s="697">
        <f t="shared" si="2"/>
        <v>100</v>
      </c>
      <c r="X12" s="698"/>
      <c r="Y12" s="3717"/>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24"/>
      <c r="Q13" s="1335">
        <f t="shared" si="6"/>
        <v>111</v>
      </c>
      <c r="R13" s="696" t="s">
        <v>18</v>
      </c>
      <c r="S13" s="697">
        <f t="shared" si="0"/>
        <v>100</v>
      </c>
      <c r="T13" s="696" t="s">
        <v>18</v>
      </c>
      <c r="U13" s="697">
        <f t="shared" si="1"/>
        <v>100</v>
      </c>
      <c r="V13" s="696" t="s">
        <v>18</v>
      </c>
      <c r="W13" s="697">
        <f t="shared" si="2"/>
        <v>100</v>
      </c>
      <c r="X13" s="698"/>
      <c r="Y13" s="3717"/>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24"/>
      <c r="Q14" s="1335">
        <f t="shared" si="6"/>
        <v>111</v>
      </c>
      <c r="R14" s="696" t="s">
        <v>18</v>
      </c>
      <c r="S14" s="697">
        <f t="shared" si="0"/>
        <v>100</v>
      </c>
      <c r="T14" s="696" t="s">
        <v>18</v>
      </c>
      <c r="U14" s="697">
        <f t="shared" si="1"/>
        <v>100</v>
      </c>
      <c r="V14" s="696" t="s">
        <v>18</v>
      </c>
      <c r="W14" s="697">
        <f t="shared" si="2"/>
        <v>100</v>
      </c>
      <c r="X14" s="698"/>
      <c r="Y14" s="3717"/>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22" t="s">
        <v>1691</v>
      </c>
      <c r="Q15" s="1344" t="str">
        <f t="shared" si="6"/>
        <v>居住社区成熟度</v>
      </c>
      <c r="R15" s="700" t="s">
        <v>18</v>
      </c>
      <c r="S15" s="701">
        <f t="shared" si="0"/>
        <v>100</v>
      </c>
      <c r="T15" s="700" t="s">
        <v>18</v>
      </c>
      <c r="U15" s="701">
        <f t="shared" si="1"/>
        <v>103</v>
      </c>
      <c r="V15" s="700" t="s">
        <v>18</v>
      </c>
      <c r="W15" s="701">
        <f t="shared" si="2"/>
        <v>103</v>
      </c>
      <c r="X15" s="1347"/>
      <c r="Y15" s="3815"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23"/>
      <c r="Q16" s="1344"/>
      <c r="R16" s="700"/>
      <c r="S16" s="701"/>
      <c r="T16" s="700"/>
      <c r="U16" s="701"/>
      <c r="V16" s="700"/>
      <c r="W16" s="701"/>
      <c r="X16" s="1347"/>
      <c r="Y16" s="3816"/>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23"/>
      <c r="Q17" s="1344" t="str">
        <f>B17</f>
        <v>交通便捷度</v>
      </c>
      <c r="R17" s="700" t="s">
        <v>18</v>
      </c>
      <c r="S17" s="701">
        <f>F17</f>
        <v>100</v>
      </c>
      <c r="T17" s="700" t="s">
        <v>18</v>
      </c>
      <c r="U17" s="701">
        <f>H17</f>
        <v>103</v>
      </c>
      <c r="V17" s="700" t="s">
        <v>18</v>
      </c>
      <c r="W17" s="701">
        <f>J17</f>
        <v>103</v>
      </c>
      <c r="X17" s="1347"/>
      <c r="Y17" s="3816"/>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23"/>
      <c r="Q18" s="1344"/>
      <c r="R18" s="700"/>
      <c r="S18" s="701"/>
      <c r="T18" s="700"/>
      <c r="U18" s="701"/>
      <c r="V18" s="700"/>
      <c r="W18" s="701"/>
      <c r="X18" s="1347"/>
      <c r="Y18" s="3816"/>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23"/>
      <c r="Q19" s="1344" t="str">
        <f>B19</f>
        <v>公共配套设施</v>
      </c>
      <c r="R19" s="700" t="s">
        <v>18</v>
      </c>
      <c r="S19" s="701">
        <f>F19</f>
        <v>100</v>
      </c>
      <c r="T19" s="700" t="s">
        <v>18</v>
      </c>
      <c r="U19" s="701">
        <f>H19</f>
        <v>102</v>
      </c>
      <c r="V19" s="700" t="s">
        <v>18</v>
      </c>
      <c r="W19" s="701">
        <f>J19</f>
        <v>102</v>
      </c>
      <c r="X19" s="1347"/>
      <c r="Y19" s="3816"/>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23"/>
      <c r="Q20" s="1344"/>
      <c r="R20" s="700"/>
      <c r="S20" s="701"/>
      <c r="T20" s="700"/>
      <c r="U20" s="701"/>
      <c r="V20" s="700"/>
      <c r="W20" s="701"/>
      <c r="X20" s="1347"/>
      <c r="Y20" s="3816"/>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23"/>
      <c r="Q21" s="1344" t="str">
        <f>B21</f>
        <v>基础设施水平</v>
      </c>
      <c r="R21" s="700" t="s">
        <v>14</v>
      </c>
      <c r="S21" s="701">
        <f>F21</f>
        <v>100</v>
      </c>
      <c r="T21" s="700" t="s">
        <v>14</v>
      </c>
      <c r="U21" s="701">
        <f>H21</f>
        <v>100</v>
      </c>
      <c r="V21" s="700" t="s">
        <v>14</v>
      </c>
      <c r="W21" s="701">
        <f>J21</f>
        <v>100</v>
      </c>
      <c r="X21" s="1347"/>
      <c r="Y21" s="3816"/>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23"/>
      <c r="Q22" s="1344"/>
      <c r="R22" s="700"/>
      <c r="S22" s="701"/>
      <c r="T22" s="700"/>
      <c r="U22" s="701"/>
      <c r="V22" s="700"/>
      <c r="W22" s="701"/>
      <c r="X22" s="1347"/>
      <c r="Y22" s="3816"/>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23"/>
      <c r="Q23" s="1344" t="str">
        <f>B23</f>
        <v>自然及人文环境</v>
      </c>
      <c r="R23" s="700" t="s">
        <v>18</v>
      </c>
      <c r="S23" s="701">
        <f>F23</f>
        <v>98</v>
      </c>
      <c r="T23" s="700" t="s">
        <v>18</v>
      </c>
      <c r="U23" s="701">
        <f>H23</f>
        <v>98</v>
      </c>
      <c r="V23" s="700" t="s">
        <v>18</v>
      </c>
      <c r="W23" s="701">
        <f>J23</f>
        <v>100</v>
      </c>
      <c r="X23" s="1347"/>
      <c r="Y23" s="3816"/>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23"/>
      <c r="Q24" s="1344"/>
      <c r="R24" s="700"/>
      <c r="S24" s="701"/>
      <c r="T24" s="700"/>
      <c r="U24" s="701"/>
      <c r="V24" s="700"/>
      <c r="W24" s="701"/>
      <c r="X24" s="1347"/>
      <c r="Y24" s="3816"/>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23"/>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16"/>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23"/>
      <c r="Q26" s="1344" t="str">
        <f t="shared" si="11"/>
        <v>朝向</v>
      </c>
      <c r="R26" s="700" t="s">
        <v>18</v>
      </c>
      <c r="S26" s="701">
        <f t="shared" si="12"/>
        <v>100</v>
      </c>
      <c r="T26" s="700" t="s">
        <v>18</v>
      </c>
      <c r="U26" s="701">
        <f t="shared" si="13"/>
        <v>100</v>
      </c>
      <c r="V26" s="700" t="s">
        <v>18</v>
      </c>
      <c r="W26" s="701">
        <f t="shared" si="14"/>
        <v>100</v>
      </c>
      <c r="X26" s="1347"/>
      <c r="Y26" s="3816"/>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23"/>
      <c r="Q27" s="1335">
        <f t="shared" si="11"/>
        <v>111</v>
      </c>
      <c r="R27" s="696" t="s">
        <v>18</v>
      </c>
      <c r="S27" s="697">
        <f t="shared" si="12"/>
        <v>100</v>
      </c>
      <c r="T27" s="696" t="s">
        <v>18</v>
      </c>
      <c r="U27" s="697">
        <f t="shared" si="13"/>
        <v>100</v>
      </c>
      <c r="V27" s="696" t="s">
        <v>18</v>
      </c>
      <c r="W27" s="697">
        <f t="shared" si="14"/>
        <v>100</v>
      </c>
      <c r="X27" s="698"/>
      <c r="Y27" s="3816"/>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23"/>
      <c r="Q28" s="1344">
        <f t="shared" si="11"/>
        <v>111</v>
      </c>
      <c r="R28" s="700" t="s">
        <v>18</v>
      </c>
      <c r="S28" s="701">
        <f t="shared" si="12"/>
        <v>100</v>
      </c>
      <c r="T28" s="700" t="s">
        <v>18</v>
      </c>
      <c r="U28" s="701">
        <f t="shared" si="13"/>
        <v>100</v>
      </c>
      <c r="V28" s="700" t="s">
        <v>18</v>
      </c>
      <c r="W28" s="701">
        <f t="shared" si="14"/>
        <v>100</v>
      </c>
      <c r="X28" s="1347"/>
      <c r="Y28" s="3816"/>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23"/>
      <c r="Q29" s="1344">
        <f t="shared" si="11"/>
        <v>111</v>
      </c>
      <c r="R29" s="700" t="s">
        <v>18</v>
      </c>
      <c r="S29" s="701">
        <f t="shared" si="12"/>
        <v>100</v>
      </c>
      <c r="T29" s="700" t="s">
        <v>18</v>
      </c>
      <c r="U29" s="701">
        <f t="shared" si="13"/>
        <v>100</v>
      </c>
      <c r="V29" s="700" t="s">
        <v>18</v>
      </c>
      <c r="W29" s="701">
        <f t="shared" si="14"/>
        <v>100</v>
      </c>
      <c r="X29" s="1347"/>
      <c r="Y29" s="3816"/>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23"/>
      <c r="Q30" s="1344">
        <f t="shared" si="11"/>
        <v>111</v>
      </c>
      <c r="R30" s="700" t="s">
        <v>18</v>
      </c>
      <c r="S30" s="701">
        <f t="shared" si="12"/>
        <v>100</v>
      </c>
      <c r="T30" s="700" t="s">
        <v>18</v>
      </c>
      <c r="U30" s="701">
        <f t="shared" si="13"/>
        <v>100</v>
      </c>
      <c r="V30" s="700" t="s">
        <v>18</v>
      </c>
      <c r="W30" s="701">
        <f t="shared" si="14"/>
        <v>100</v>
      </c>
      <c r="X30" s="1347"/>
      <c r="Y30" s="3816"/>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23"/>
      <c r="Q31" s="1344">
        <f t="shared" si="11"/>
        <v>111</v>
      </c>
      <c r="R31" s="700" t="s">
        <v>18</v>
      </c>
      <c r="S31" s="701">
        <f t="shared" si="12"/>
        <v>100</v>
      </c>
      <c r="T31" s="700" t="s">
        <v>18</v>
      </c>
      <c r="U31" s="701">
        <f t="shared" si="13"/>
        <v>100</v>
      </c>
      <c r="V31" s="700" t="s">
        <v>18</v>
      </c>
      <c r="W31" s="701">
        <f t="shared" si="14"/>
        <v>100</v>
      </c>
      <c r="X31" s="1347"/>
      <c r="Y31" s="3816"/>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17" t="s">
        <v>1696</v>
      </c>
      <c r="Q32" s="1344" t="str">
        <f t="shared" si="11"/>
        <v>建筑类型</v>
      </c>
      <c r="R32" s="700" t="s">
        <v>18</v>
      </c>
      <c r="S32" s="701">
        <f t="shared" si="12"/>
        <v>100</v>
      </c>
      <c r="T32" s="700" t="s">
        <v>18</v>
      </c>
      <c r="U32" s="701">
        <f t="shared" si="13"/>
        <v>100</v>
      </c>
      <c r="V32" s="700" t="s">
        <v>18</v>
      </c>
      <c r="W32" s="701">
        <f t="shared" si="14"/>
        <v>100</v>
      </c>
      <c r="X32" s="1347"/>
      <c r="Y32" s="3820"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244.44</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18"/>
      <c r="Q33" s="702" t="str">
        <f t="shared" si="11"/>
        <v>项目建筑规模</v>
      </c>
      <c r="R33" s="703" t="s">
        <v>18</v>
      </c>
      <c r="S33" s="704">
        <f t="shared" si="12"/>
        <v>102</v>
      </c>
      <c r="T33" s="703" t="s">
        <v>18</v>
      </c>
      <c r="U33" s="704">
        <f t="shared" si="13"/>
        <v>102</v>
      </c>
      <c r="V33" s="703" t="s">
        <v>18</v>
      </c>
      <c r="W33" s="704">
        <f t="shared" si="14"/>
        <v>103</v>
      </c>
      <c r="X33" s="705"/>
      <c r="Y33" s="3820"/>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18"/>
      <c r="Q34" s="1344" t="str">
        <f t="shared" si="11"/>
        <v>建筑结构</v>
      </c>
      <c r="R34" s="700" t="s">
        <v>18</v>
      </c>
      <c r="S34" s="701">
        <f t="shared" si="12"/>
        <v>100</v>
      </c>
      <c r="T34" s="700" t="s">
        <v>18</v>
      </c>
      <c r="U34" s="701">
        <f t="shared" si="13"/>
        <v>100</v>
      </c>
      <c r="V34" s="700" t="s">
        <v>18</v>
      </c>
      <c r="W34" s="701">
        <f t="shared" si="14"/>
        <v>100</v>
      </c>
      <c r="X34" s="1347"/>
      <c r="Y34" s="3820"/>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18"/>
      <c r="Q35" s="1344" t="str">
        <f t="shared" si="11"/>
        <v>建筑品质</v>
      </c>
      <c r="R35" s="700" t="s">
        <v>18</v>
      </c>
      <c r="S35" s="701">
        <f t="shared" si="12"/>
        <v>100</v>
      </c>
      <c r="T35" s="700" t="s">
        <v>18</v>
      </c>
      <c r="U35" s="701">
        <f t="shared" si="13"/>
        <v>100</v>
      </c>
      <c r="V35" s="700" t="s">
        <v>18</v>
      </c>
      <c r="W35" s="701">
        <f t="shared" si="14"/>
        <v>100</v>
      </c>
      <c r="X35" s="1347"/>
      <c r="Y35" s="3820"/>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18"/>
      <c r="Q36" s="1344" t="str">
        <f t="shared" si="11"/>
        <v>公共部分装修</v>
      </c>
      <c r="R36" s="700" t="s">
        <v>18</v>
      </c>
      <c r="S36" s="701">
        <f t="shared" si="12"/>
        <v>100</v>
      </c>
      <c r="T36" s="700" t="s">
        <v>18</v>
      </c>
      <c r="U36" s="701">
        <f t="shared" si="13"/>
        <v>100</v>
      </c>
      <c r="V36" s="700" t="s">
        <v>18</v>
      </c>
      <c r="W36" s="701">
        <f t="shared" si="14"/>
        <v>100</v>
      </c>
      <c r="X36" s="1347"/>
      <c r="Y36" s="3820"/>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18"/>
      <c r="Q37" s="1335" t="str">
        <f t="shared" si="11"/>
        <v>成新度</v>
      </c>
      <c r="R37" s="696" t="s">
        <v>18</v>
      </c>
      <c r="S37" s="697">
        <f t="shared" si="12"/>
        <v>100</v>
      </c>
      <c r="T37" s="696" t="s">
        <v>18</v>
      </c>
      <c r="U37" s="697">
        <f t="shared" si="13"/>
        <v>100</v>
      </c>
      <c r="V37" s="696" t="s">
        <v>18</v>
      </c>
      <c r="W37" s="697">
        <f t="shared" si="14"/>
        <v>100</v>
      </c>
      <c r="X37" s="698"/>
      <c r="Y37" s="3820"/>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18" t="s">
        <v>1696</v>
      </c>
      <c r="Q38" s="1344" t="str">
        <f t="shared" si="11"/>
        <v>物业管理</v>
      </c>
      <c r="R38" s="700" t="s">
        <v>18</v>
      </c>
      <c r="S38" s="701">
        <f t="shared" si="12"/>
        <v>100</v>
      </c>
      <c r="T38" s="700" t="s">
        <v>18</v>
      </c>
      <c r="U38" s="701">
        <f t="shared" si="13"/>
        <v>100</v>
      </c>
      <c r="V38" s="700" t="s">
        <v>18</v>
      </c>
      <c r="W38" s="701">
        <f t="shared" si="14"/>
        <v>100</v>
      </c>
      <c r="X38" s="1347"/>
      <c r="Y38" s="3820"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18"/>
      <c r="Q39" s="1344" t="str">
        <f t="shared" si="11"/>
        <v>市政基础设施</v>
      </c>
      <c r="R39" s="700" t="s">
        <v>18</v>
      </c>
      <c r="S39" s="701">
        <f t="shared" si="12"/>
        <v>100</v>
      </c>
      <c r="T39" s="700" t="s">
        <v>18</v>
      </c>
      <c r="U39" s="701">
        <f t="shared" si="13"/>
        <v>100</v>
      </c>
      <c r="V39" s="700" t="s">
        <v>18</v>
      </c>
      <c r="W39" s="701">
        <f t="shared" si="14"/>
        <v>100</v>
      </c>
      <c r="X39" s="1347"/>
      <c r="Y39" s="3820"/>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18"/>
      <c r="Q40" s="1344" t="str">
        <f t="shared" si="11"/>
        <v>房型</v>
      </c>
      <c r="R40" s="700" t="s">
        <v>18</v>
      </c>
      <c r="S40" s="701">
        <f t="shared" si="12"/>
        <v>100</v>
      </c>
      <c r="T40" s="700" t="s">
        <v>18</v>
      </c>
      <c r="U40" s="701">
        <f t="shared" si="13"/>
        <v>100</v>
      </c>
      <c r="V40" s="700" t="s">
        <v>18</v>
      </c>
      <c r="W40" s="701">
        <f t="shared" si="14"/>
        <v>100</v>
      </c>
      <c r="X40" s="1347"/>
      <c r="Y40" s="3820"/>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18"/>
      <c r="Q41" s="702" t="str">
        <f t="shared" si="11"/>
        <v>单套/主力户型建筑面积</v>
      </c>
      <c r="R41" s="703" t="s">
        <v>18</v>
      </c>
      <c r="S41" s="704">
        <f t="shared" si="12"/>
        <v>100</v>
      </c>
      <c r="T41" s="703" t="s">
        <v>18</v>
      </c>
      <c r="U41" s="704">
        <f t="shared" si="13"/>
        <v>100</v>
      </c>
      <c r="V41" s="703" t="s">
        <v>18</v>
      </c>
      <c r="W41" s="704">
        <f t="shared" si="14"/>
        <v>100</v>
      </c>
      <c r="X41" s="705"/>
      <c r="Y41" s="3820"/>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18"/>
      <c r="Q42" s="1344" t="str">
        <f t="shared" si="11"/>
        <v>内部装修</v>
      </c>
      <c r="R42" s="700" t="s">
        <v>18</v>
      </c>
      <c r="S42" s="701">
        <f t="shared" si="12"/>
        <v>100</v>
      </c>
      <c r="T42" s="700" t="s">
        <v>18</v>
      </c>
      <c r="U42" s="701">
        <f t="shared" si="13"/>
        <v>100</v>
      </c>
      <c r="V42" s="700" t="s">
        <v>18</v>
      </c>
      <c r="W42" s="701">
        <f t="shared" si="14"/>
        <v>100</v>
      </c>
      <c r="X42" s="1347"/>
      <c r="Y42" s="3820"/>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18"/>
      <c r="Q43" s="1344" t="str">
        <f t="shared" si="11"/>
        <v>内部装修维护情况</v>
      </c>
      <c r="R43" s="700" t="s">
        <v>18</v>
      </c>
      <c r="S43" s="701">
        <f t="shared" si="12"/>
        <v>100</v>
      </c>
      <c r="T43" s="700" t="s">
        <v>18</v>
      </c>
      <c r="U43" s="701">
        <f t="shared" si="13"/>
        <v>100</v>
      </c>
      <c r="V43" s="700" t="s">
        <v>18</v>
      </c>
      <c r="W43" s="701">
        <f t="shared" si="14"/>
        <v>100</v>
      </c>
      <c r="X43" s="1347"/>
      <c r="Y43" s="3820"/>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18"/>
      <c r="Q44" s="1335" t="str">
        <f t="shared" si="11"/>
        <v>是否现房</v>
      </c>
      <c r="R44" s="696" t="s">
        <v>18</v>
      </c>
      <c r="S44" s="697">
        <f t="shared" si="12"/>
        <v>100</v>
      </c>
      <c r="T44" s="696" t="s">
        <v>18</v>
      </c>
      <c r="U44" s="697">
        <f t="shared" si="13"/>
        <v>95</v>
      </c>
      <c r="V44" s="696" t="s">
        <v>18</v>
      </c>
      <c r="W44" s="697">
        <f t="shared" si="14"/>
        <v>95</v>
      </c>
      <c r="X44" s="698"/>
      <c r="Y44" s="3820"/>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18"/>
      <c r="Q45" s="1344">
        <f t="shared" si="11"/>
        <v>111</v>
      </c>
      <c r="R45" s="700" t="s">
        <v>18</v>
      </c>
      <c r="S45" s="701">
        <f t="shared" si="12"/>
        <v>100</v>
      </c>
      <c r="T45" s="700" t="s">
        <v>18</v>
      </c>
      <c r="U45" s="701">
        <f t="shared" si="13"/>
        <v>100</v>
      </c>
      <c r="V45" s="700" t="s">
        <v>18</v>
      </c>
      <c r="W45" s="701">
        <f t="shared" si="14"/>
        <v>100</v>
      </c>
      <c r="X45" s="1347"/>
      <c r="Y45" s="3820"/>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19"/>
      <c r="Q46" s="1344">
        <f t="shared" si="11"/>
        <v>111</v>
      </c>
      <c r="R46" s="700" t="s">
        <v>17</v>
      </c>
      <c r="S46" s="701">
        <f t="shared" si="12"/>
        <v>100</v>
      </c>
      <c r="T46" s="700" t="s">
        <v>17</v>
      </c>
      <c r="U46" s="701">
        <f t="shared" si="13"/>
        <v>100</v>
      </c>
      <c r="V46" s="700" t="s">
        <v>17</v>
      </c>
      <c r="W46" s="701">
        <f t="shared" si="14"/>
        <v>100</v>
      </c>
      <c r="X46" s="1347"/>
      <c r="Y46" s="3821"/>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13" t="str">
        <f>A47</f>
        <v>成交单价（元/平方米）</v>
      </c>
      <c r="Q47" s="3813"/>
      <c r="R47" s="3814">
        <f>E47</f>
        <v>53174</v>
      </c>
      <c r="S47" s="3814"/>
      <c r="T47" s="3814">
        <f>G47</f>
        <v>56211</v>
      </c>
      <c r="U47" s="3814"/>
      <c r="V47" s="3814">
        <f>I47</f>
        <v>58586</v>
      </c>
      <c r="W47" s="3814"/>
      <c r="X47" s="685"/>
      <c r="Y47" s="707"/>
      <c r="Z47" s="685"/>
      <c r="AA47" s="685"/>
      <c r="AB47" s="685"/>
      <c r="AC47" s="685"/>
    </row>
    <row r="48" spans="1:29" ht="15.75" thickBot="1">
      <c r="A48" s="434" t="s">
        <v>1709</v>
      </c>
      <c r="B48" s="435"/>
      <c r="C48" s="1152" t="e">
        <f>R49</f>
        <v>#DIV/0!</v>
      </c>
      <c r="D48" s="2305" t="s">
        <v>2137</v>
      </c>
      <c r="E48" s="1153" t="e">
        <f>R48</f>
        <v>#DIV/0!</v>
      </c>
      <c r="F48" s="2306"/>
      <c r="G48" s="1152" t="e">
        <f>T48</f>
        <v>#DIV/0!</v>
      </c>
      <c r="H48" s="2306"/>
      <c r="I48" s="1153" t="e">
        <f>V48</f>
        <v>#DIV/0!</v>
      </c>
      <c r="J48" s="2306"/>
      <c r="K48" s="2307">
        <f>F48+H48+J48</f>
        <v>0</v>
      </c>
      <c r="L48" s="2708"/>
      <c r="M48" s="2709"/>
      <c r="N48" s="2709"/>
      <c r="O48" s="2709"/>
      <c r="P48" s="3813" t="str">
        <f>A48</f>
        <v>比较价值（元/平方米）</v>
      </c>
      <c r="Q48" s="3813"/>
      <c r="R48" s="3814" t="e">
        <f>IF(F1="售价",ROUND(PRODUCT(R47,AA7:AA46),0),ROUND(PRODUCT(R47,AA7:AA46),1))</f>
        <v>#DIV/0!</v>
      </c>
      <c r="S48" s="3814"/>
      <c r="T48" s="3814" t="e">
        <f>IF(F1="售价",ROUND(PRODUCT(T47,AB7:AB46),0),ROUND(PRODUCT(T47,AB7:AB46),1))</f>
        <v>#DIV/0!</v>
      </c>
      <c r="U48" s="3814"/>
      <c r="V48" s="3814" t="e">
        <f>IF(F1="售价",ROUND(PRODUCT(V47,AC7:AC46),0),ROUND(PRODUCT(V47,AC7:AC46),1))</f>
        <v>#DIV/0!</v>
      </c>
      <c r="W48" s="3814"/>
      <c r="X48" s="685"/>
      <c r="Y48" s="685"/>
      <c r="Z48" s="685"/>
      <c r="AA48" s="685"/>
      <c r="AB48" s="685"/>
      <c r="AC48" s="685"/>
    </row>
    <row r="49" spans="1:29" ht="15.75" thickBot="1">
      <c r="A49" s="438" t="s">
        <v>1710</v>
      </c>
      <c r="B49" s="439"/>
      <c r="C49" s="1154" t="e">
        <f>R49</f>
        <v>#DIV/0!</v>
      </c>
      <c r="D49" s="1155"/>
      <c r="E49" s="1155"/>
      <c r="F49" s="1155"/>
      <c r="G49" s="1155"/>
      <c r="H49" s="1155"/>
      <c r="I49" s="1155"/>
      <c r="J49" s="1155"/>
      <c r="K49" s="1903"/>
      <c r="L49" s="2708"/>
      <c r="M49" s="2709"/>
      <c r="N49" s="2709"/>
      <c r="O49" s="2709"/>
      <c r="P49" s="3810" t="str">
        <f>A49</f>
        <v>估价对象XX用房的比较价值（楼面单价，元/平方米）</v>
      </c>
      <c r="Q49" s="3811"/>
      <c r="R49" s="3812" t="e">
        <f>IF(F1="售价",ROUND(IF(D48="简单平均",AVERAGE(R48:V48),R48*F48+T48*H48+V48*J48),0),ROUND(IF(D48="简单平均",AVERAGE(R48:V48),R48*F48+T48*H48+V48*J48),1))</f>
        <v>#DIV/0!</v>
      </c>
      <c r="S49" s="3812"/>
      <c r="T49" s="3812"/>
      <c r="U49" s="3812"/>
      <c r="V49" s="3812"/>
      <c r="W49" s="3812"/>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14"/>
      <c r="L52" s="2710"/>
      <c r="M52" s="2709"/>
      <c r="N52" s="2709"/>
      <c r="O52" s="2709"/>
    </row>
    <row r="53" spans="1:29" ht="13.5" customHeight="1">
      <c r="A53" s="2709"/>
      <c r="B53" s="2709"/>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2024-1</v>
      </c>
      <c r="D58" s="1177">
        <f>EDATE(C58,-1)</f>
        <v>45261</v>
      </c>
      <c r="E58" s="1177">
        <f>EDATE(D58,-1)</f>
        <v>45231</v>
      </c>
      <c r="F58" s="1177">
        <f t="shared" ref="F58:O58" si="19">EDATE(E58,-1)</f>
        <v>45200</v>
      </c>
      <c r="G58" s="1177">
        <f t="shared" si="19"/>
        <v>45170</v>
      </c>
      <c r="H58" s="1177">
        <f t="shared" si="19"/>
        <v>45139</v>
      </c>
      <c r="I58" s="1177">
        <f t="shared" si="19"/>
        <v>45108</v>
      </c>
      <c r="J58" s="1177">
        <f t="shared" si="19"/>
        <v>45078</v>
      </c>
      <c r="K58" s="1177">
        <f t="shared" si="19"/>
        <v>45047</v>
      </c>
      <c r="L58" s="1177">
        <f t="shared" si="19"/>
        <v>45017</v>
      </c>
      <c r="M58" s="1177">
        <f t="shared" si="19"/>
        <v>44986</v>
      </c>
      <c r="N58" s="1177">
        <f t="shared" si="19"/>
        <v>44958</v>
      </c>
      <c r="O58" s="1177">
        <f t="shared" si="19"/>
        <v>44927</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27" t="str">
        <f>项目基本情况!B1</f>
        <v>北京市昌平区英才南一街15号院1号楼等13栋部分用房房地产抵押价值预评估</v>
      </c>
      <c r="C37" s="3627"/>
      <c r="D37" s="3627"/>
      <c r="E37" s="3627"/>
      <c r="F37" s="3627"/>
      <c r="G37" s="3627"/>
      <c r="H37" s="3627"/>
      <c r="I37" s="3627"/>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28" t="s">
        <v>1770</v>
      </c>
      <c r="D4" s="3829"/>
      <c r="E4" s="3830" t="s">
        <v>1771</v>
      </c>
      <c r="F4" s="3831"/>
      <c r="G4" s="3828" t="s">
        <v>1772</v>
      </c>
      <c r="H4" s="3829"/>
      <c r="I4" s="3828" t="s">
        <v>1773</v>
      </c>
      <c r="J4" s="3829"/>
      <c r="K4" s="556" t="s">
        <v>1774</v>
      </c>
      <c r="L4" s="2699"/>
      <c r="M4" s="2700"/>
      <c r="N4" s="2700"/>
      <c r="O4" s="2700"/>
      <c r="P4" s="3832" t="s">
        <v>1775</v>
      </c>
      <c r="Q4" s="3833"/>
      <c r="R4" s="3838" t="s">
        <v>1771</v>
      </c>
      <c r="S4" s="3839"/>
      <c r="T4" s="3838" t="s">
        <v>1772</v>
      </c>
      <c r="U4" s="3839"/>
      <c r="V4" s="3844" t="s">
        <v>1773</v>
      </c>
      <c r="W4" s="3844"/>
      <c r="X4" s="1347"/>
      <c r="Y4" s="3838" t="s">
        <v>1775</v>
      </c>
      <c r="Z4" s="3839"/>
      <c r="AA4" s="3825" t="s">
        <v>1771</v>
      </c>
      <c r="AB4" s="3826" t="s">
        <v>1772</v>
      </c>
      <c r="AC4" s="3825" t="s">
        <v>1773</v>
      </c>
    </row>
    <row r="5" spans="1:30" ht="63.75" customHeight="1">
      <c r="A5" s="358"/>
      <c r="B5" s="359"/>
      <c r="C5" s="3852" t="s">
        <v>1673</v>
      </c>
      <c r="D5" s="3848"/>
      <c r="E5" s="3861" t="e">
        <f>#REF!</f>
        <v>#REF!</v>
      </c>
      <c r="F5" s="3856"/>
      <c r="G5" s="3852" t="e">
        <f>#REF!</f>
        <v>#REF!</v>
      </c>
      <c r="H5" s="3848"/>
      <c r="I5" s="3852" t="e">
        <f>#REF!</f>
        <v>#REF!</v>
      </c>
      <c r="J5" s="3848"/>
      <c r="K5" s="556"/>
      <c r="L5" s="2699"/>
      <c r="M5" s="2700"/>
      <c r="N5" s="2700"/>
      <c r="O5" s="2700"/>
      <c r="P5" s="3834"/>
      <c r="Q5" s="3835"/>
      <c r="R5" s="3840"/>
      <c r="S5" s="3841"/>
      <c r="T5" s="3840"/>
      <c r="U5" s="3841"/>
      <c r="V5" s="3844"/>
      <c r="W5" s="3844"/>
      <c r="X5" s="1347"/>
      <c r="Y5" s="3840"/>
      <c r="Z5" s="3841"/>
      <c r="AA5" s="3826"/>
      <c r="AB5" s="3826"/>
      <c r="AC5" s="3826"/>
    </row>
    <row r="6" spans="1:30" ht="15.75" thickBot="1">
      <c r="A6" s="360"/>
      <c r="B6" s="361"/>
      <c r="C6" s="3845" t="s">
        <v>1677</v>
      </c>
      <c r="D6" s="3846"/>
      <c r="E6" s="3853" t="s">
        <v>1677</v>
      </c>
      <c r="F6" s="3854"/>
      <c r="G6" s="3845" t="s">
        <v>1677</v>
      </c>
      <c r="H6" s="3846"/>
      <c r="I6" s="3845" t="s">
        <v>1677</v>
      </c>
      <c r="J6" s="3846"/>
      <c r="K6" s="556" t="s">
        <v>1678</v>
      </c>
      <c r="L6" s="2699"/>
      <c r="M6" s="2700"/>
      <c r="N6" s="2700"/>
      <c r="O6" s="2700"/>
      <c r="P6" s="3836"/>
      <c r="Q6" s="3837"/>
      <c r="R6" s="3840"/>
      <c r="S6" s="3841"/>
      <c r="T6" s="3842"/>
      <c r="U6" s="3843"/>
      <c r="V6" s="3844"/>
      <c r="W6" s="3844"/>
      <c r="X6" s="1347"/>
      <c r="Y6" s="3842"/>
      <c r="Z6" s="3843"/>
      <c r="AA6" s="3827"/>
      <c r="AB6" s="3827"/>
      <c r="AC6" s="3827"/>
    </row>
    <row r="7" spans="1:30" s="108" customFormat="1" ht="15.75" thickBot="1">
      <c r="A7" s="362" t="s">
        <v>1679</v>
      </c>
      <c r="B7" s="363"/>
      <c r="C7" s="364">
        <f>'数据-取费表'!B2</f>
        <v>45320</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49" t="s">
        <v>1680</v>
      </c>
      <c r="Q7" s="3851"/>
      <c r="R7" s="696" t="s">
        <v>14</v>
      </c>
      <c r="S7" s="697">
        <f t="shared" ref="S7:S15" si="0">F7</f>
        <v>0</v>
      </c>
      <c r="T7" s="696" t="s">
        <v>14</v>
      </c>
      <c r="U7" s="697">
        <f t="shared" ref="U7:U15" si="1">H7</f>
        <v>0</v>
      </c>
      <c r="V7" s="696" t="s">
        <v>14</v>
      </c>
      <c r="W7" s="697">
        <f t="shared" ref="W7:W15" si="2">J7</f>
        <v>0</v>
      </c>
      <c r="X7" s="698"/>
      <c r="Y7" s="3849" t="s">
        <v>1680</v>
      </c>
      <c r="Z7" s="3850"/>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49" t="s">
        <v>1683</v>
      </c>
      <c r="Q8" s="3850"/>
      <c r="R8" s="696" t="s">
        <v>14</v>
      </c>
      <c r="S8" s="697">
        <f t="shared" si="0"/>
        <v>100</v>
      </c>
      <c r="T8" s="696" t="s">
        <v>14</v>
      </c>
      <c r="U8" s="697">
        <f t="shared" si="1"/>
        <v>100</v>
      </c>
      <c r="V8" s="696" t="s">
        <v>14</v>
      </c>
      <c r="W8" s="697">
        <f t="shared" si="2"/>
        <v>100</v>
      </c>
      <c r="X8" s="698"/>
      <c r="Y8" s="3849" t="s">
        <v>1683</v>
      </c>
      <c r="Z8" s="3850"/>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13" t="s">
        <v>1686</v>
      </c>
      <c r="Q9" s="1335" t="str">
        <f t="shared" ref="Q9:Q15" si="6">B9</f>
        <v>用途</v>
      </c>
      <c r="R9" s="696" t="s">
        <v>14</v>
      </c>
      <c r="S9" s="697">
        <f t="shared" si="0"/>
        <v>100</v>
      </c>
      <c r="T9" s="696" t="s">
        <v>14</v>
      </c>
      <c r="U9" s="697">
        <f t="shared" si="1"/>
        <v>100</v>
      </c>
      <c r="V9" s="696" t="s">
        <v>14</v>
      </c>
      <c r="W9" s="697">
        <f t="shared" si="2"/>
        <v>100</v>
      </c>
      <c r="X9" s="698"/>
      <c r="Y9" s="3717"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13"/>
      <c r="Q10" s="1335" t="str">
        <f t="shared" si="6"/>
        <v>土地使用年限（年）</v>
      </c>
      <c r="R10" s="696" t="s">
        <v>14</v>
      </c>
      <c r="S10" s="697">
        <f t="shared" si="0"/>
        <v>106</v>
      </c>
      <c r="T10" s="696" t="s">
        <v>14</v>
      </c>
      <c r="U10" s="697">
        <f t="shared" si="1"/>
        <v>106</v>
      </c>
      <c r="V10" s="696" t="s">
        <v>14</v>
      </c>
      <c r="W10" s="697">
        <f t="shared" si="2"/>
        <v>106</v>
      </c>
      <c r="X10" s="698"/>
      <c r="Y10" s="3717"/>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13"/>
      <c r="Q11" s="1335" t="str">
        <f t="shared" si="6"/>
        <v>容积率</v>
      </c>
      <c r="R11" s="696" t="s">
        <v>14</v>
      </c>
      <c r="S11" s="697" t="e">
        <f t="shared" si="0"/>
        <v>#REF!</v>
      </c>
      <c r="T11" s="696" t="s">
        <v>14</v>
      </c>
      <c r="U11" s="697" t="e">
        <f t="shared" si="1"/>
        <v>#REF!</v>
      </c>
      <c r="V11" s="696" t="s">
        <v>14</v>
      </c>
      <c r="W11" s="697" t="e">
        <f t="shared" si="2"/>
        <v>#REF!</v>
      </c>
      <c r="X11" s="698"/>
      <c r="Y11" s="3717"/>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13"/>
      <c r="Q12" s="1335" t="str">
        <f t="shared" si="6"/>
        <v>配建</v>
      </c>
      <c r="R12" s="696" t="s">
        <v>14</v>
      </c>
      <c r="S12" s="697">
        <f t="shared" si="0"/>
        <v>100</v>
      </c>
      <c r="T12" s="696" t="s">
        <v>14</v>
      </c>
      <c r="U12" s="697">
        <f t="shared" si="1"/>
        <v>100</v>
      </c>
      <c r="V12" s="696" t="s">
        <v>14</v>
      </c>
      <c r="W12" s="697">
        <f t="shared" si="2"/>
        <v>100</v>
      </c>
      <c r="X12" s="698"/>
      <c r="Y12" s="3717"/>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13"/>
      <c r="Q13" s="1335">
        <f t="shared" si="6"/>
        <v>111</v>
      </c>
      <c r="R13" s="696" t="s">
        <v>14</v>
      </c>
      <c r="S13" s="697">
        <f t="shared" si="0"/>
        <v>100</v>
      </c>
      <c r="T13" s="696" t="s">
        <v>14</v>
      </c>
      <c r="U13" s="697">
        <f t="shared" si="1"/>
        <v>100</v>
      </c>
      <c r="V13" s="696" t="s">
        <v>14</v>
      </c>
      <c r="W13" s="697">
        <f t="shared" si="2"/>
        <v>100</v>
      </c>
      <c r="X13" s="698"/>
      <c r="Y13" s="3717"/>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13"/>
      <c r="Q14" s="1335">
        <f t="shared" si="6"/>
        <v>111</v>
      </c>
      <c r="R14" s="696" t="s">
        <v>14</v>
      </c>
      <c r="S14" s="697">
        <f t="shared" si="0"/>
        <v>100</v>
      </c>
      <c r="T14" s="696" t="s">
        <v>14</v>
      </c>
      <c r="U14" s="697">
        <f t="shared" si="1"/>
        <v>100</v>
      </c>
      <c r="V14" s="696" t="s">
        <v>14</v>
      </c>
      <c r="W14" s="697">
        <f t="shared" si="2"/>
        <v>100</v>
      </c>
      <c r="X14" s="698"/>
      <c r="Y14" s="3717"/>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15" t="s">
        <v>1691</v>
      </c>
      <c r="Q15" s="1344" t="str">
        <f t="shared" si="6"/>
        <v>居住社区成熟度</v>
      </c>
      <c r="R15" s="700" t="s">
        <v>14</v>
      </c>
      <c r="S15" s="701">
        <f t="shared" si="0"/>
        <v>100</v>
      </c>
      <c r="T15" s="700" t="s">
        <v>14</v>
      </c>
      <c r="U15" s="701">
        <f t="shared" si="1"/>
        <v>100</v>
      </c>
      <c r="V15" s="700" t="s">
        <v>14</v>
      </c>
      <c r="W15" s="701">
        <f t="shared" si="2"/>
        <v>103</v>
      </c>
      <c r="X15" s="1347"/>
      <c r="Y15" s="3815"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16"/>
      <c r="Q16" s="1344"/>
      <c r="R16" s="700"/>
      <c r="S16" s="701"/>
      <c r="T16" s="700"/>
      <c r="U16" s="701"/>
      <c r="V16" s="700"/>
      <c r="W16" s="701"/>
      <c r="X16" s="1347"/>
      <c r="Y16" s="3816"/>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16"/>
      <c r="Q17" s="1344" t="str">
        <f>B17</f>
        <v>商业繁华度</v>
      </c>
      <c r="R17" s="700" t="s">
        <v>14</v>
      </c>
      <c r="S17" s="701">
        <f>F17</f>
        <v>100</v>
      </c>
      <c r="T17" s="700" t="s">
        <v>14</v>
      </c>
      <c r="U17" s="701">
        <f>H17</f>
        <v>100</v>
      </c>
      <c r="V17" s="700" t="s">
        <v>14</v>
      </c>
      <c r="W17" s="701">
        <f>J17</f>
        <v>100</v>
      </c>
      <c r="X17" s="1347"/>
      <c r="Y17" s="3816"/>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16"/>
      <c r="Q18" s="1344"/>
      <c r="R18" s="700"/>
      <c r="S18" s="701"/>
      <c r="T18" s="700"/>
      <c r="U18" s="701"/>
      <c r="V18" s="700"/>
      <c r="W18" s="701"/>
      <c r="X18" s="1347"/>
      <c r="Y18" s="3816"/>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16"/>
      <c r="Q19" s="1344" t="str">
        <f>B19</f>
        <v>办公集聚程度</v>
      </c>
      <c r="R19" s="700" t="s">
        <v>14</v>
      </c>
      <c r="S19" s="701">
        <f>F19</f>
        <v>100</v>
      </c>
      <c r="T19" s="700" t="s">
        <v>14</v>
      </c>
      <c r="U19" s="701">
        <f>H19</f>
        <v>100</v>
      </c>
      <c r="V19" s="700" t="s">
        <v>14</v>
      </c>
      <c r="W19" s="701">
        <f>J19</f>
        <v>100</v>
      </c>
      <c r="X19" s="1347"/>
      <c r="Y19" s="3816"/>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16"/>
      <c r="Q20" s="1344"/>
      <c r="R20" s="700"/>
      <c r="S20" s="701"/>
      <c r="T20" s="700"/>
      <c r="U20" s="701"/>
      <c r="V20" s="700"/>
      <c r="W20" s="701"/>
      <c r="X20" s="1347"/>
      <c r="Y20" s="3816"/>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16"/>
      <c r="Q21" s="1344" t="str">
        <f>B21</f>
        <v>交通便捷度</v>
      </c>
      <c r="R21" s="700" t="s">
        <v>14</v>
      </c>
      <c r="S21" s="701">
        <f>F21</f>
        <v>103</v>
      </c>
      <c r="T21" s="700" t="s">
        <v>14</v>
      </c>
      <c r="U21" s="701">
        <f>H21</f>
        <v>103</v>
      </c>
      <c r="V21" s="700" t="s">
        <v>14</v>
      </c>
      <c r="W21" s="701">
        <f>J21</f>
        <v>103</v>
      </c>
      <c r="X21" s="1347"/>
      <c r="Y21" s="3816"/>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16"/>
      <c r="Q22" s="1344"/>
      <c r="R22" s="700"/>
      <c r="S22" s="701"/>
      <c r="T22" s="700"/>
      <c r="U22" s="701"/>
      <c r="V22" s="700"/>
      <c r="W22" s="701"/>
      <c r="X22" s="1347"/>
      <c r="Y22" s="3816"/>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16"/>
      <c r="Q23" s="1344" t="str">
        <f t="shared" ref="Q23:Q37" si="8">B23</f>
        <v>区域土地利用方向</v>
      </c>
      <c r="R23" s="700" t="s">
        <v>14</v>
      </c>
      <c r="S23" s="701">
        <f>F23</f>
        <v>100</v>
      </c>
      <c r="T23" s="700" t="s">
        <v>14</v>
      </c>
      <c r="U23" s="701">
        <f>H23</f>
        <v>100</v>
      </c>
      <c r="V23" s="700" t="s">
        <v>14</v>
      </c>
      <c r="W23" s="701">
        <f>J23</f>
        <v>100</v>
      </c>
      <c r="X23" s="1347"/>
      <c r="Y23" s="3816"/>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16"/>
      <c r="Q24" s="1344"/>
      <c r="R24" s="700"/>
      <c r="S24" s="701"/>
      <c r="T24" s="700"/>
      <c r="U24" s="701"/>
      <c r="V24" s="700"/>
      <c r="W24" s="701"/>
      <c r="X24" s="1347"/>
      <c r="Y24" s="3816"/>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16"/>
      <c r="Q25" s="1344" t="str">
        <f t="shared" si="8"/>
        <v>自然及人文环境状况</v>
      </c>
      <c r="R25" s="700" t="s">
        <v>14</v>
      </c>
      <c r="S25" s="701">
        <f>F25</f>
        <v>98</v>
      </c>
      <c r="T25" s="700" t="s">
        <v>14</v>
      </c>
      <c r="U25" s="701">
        <f>H25</f>
        <v>98</v>
      </c>
      <c r="V25" s="700" t="s">
        <v>14</v>
      </c>
      <c r="W25" s="701">
        <f>J25</f>
        <v>98</v>
      </c>
      <c r="X25" s="1347"/>
      <c r="Y25" s="3816"/>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16"/>
      <c r="Q26" s="1344"/>
      <c r="R26" s="700"/>
      <c r="S26" s="701"/>
      <c r="T26" s="700"/>
      <c r="U26" s="701"/>
      <c r="V26" s="700"/>
      <c r="W26" s="701"/>
      <c r="X26" s="1347"/>
      <c r="Y26" s="3816"/>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16"/>
      <c r="Q27" s="1335" t="str">
        <f t="shared" si="8"/>
        <v>公共配套设施</v>
      </c>
      <c r="R27" s="696" t="s">
        <v>14</v>
      </c>
      <c r="S27" s="697">
        <f>F27</f>
        <v>100</v>
      </c>
      <c r="T27" s="696" t="s">
        <v>14</v>
      </c>
      <c r="U27" s="697">
        <f>H27</f>
        <v>100</v>
      </c>
      <c r="V27" s="696" t="s">
        <v>14</v>
      </c>
      <c r="W27" s="697">
        <f>J27</f>
        <v>100</v>
      </c>
      <c r="X27" s="698"/>
      <c r="Y27" s="3816"/>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16"/>
      <c r="Q28" s="1335"/>
      <c r="R28" s="696"/>
      <c r="S28" s="697"/>
      <c r="T28" s="696"/>
      <c r="U28" s="697"/>
      <c r="V28" s="696"/>
      <c r="W28" s="697"/>
      <c r="X28" s="698"/>
      <c r="Y28" s="3816"/>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16"/>
      <c r="Q29" s="1335" t="str">
        <f t="shared" ref="Q29" si="9">B29</f>
        <v>基础设施水平</v>
      </c>
      <c r="R29" s="696" t="s">
        <v>14</v>
      </c>
      <c r="S29" s="697">
        <f>F29</f>
        <v>100</v>
      </c>
      <c r="T29" s="696" t="s">
        <v>14</v>
      </c>
      <c r="U29" s="697">
        <f>H29</f>
        <v>100</v>
      </c>
      <c r="V29" s="696" t="s">
        <v>14</v>
      </c>
      <c r="W29" s="697">
        <f>J29</f>
        <v>100</v>
      </c>
      <c r="X29" s="698"/>
      <c r="Y29" s="3816"/>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16"/>
      <c r="Q30" s="1335"/>
      <c r="R30" s="696"/>
      <c r="S30" s="697"/>
      <c r="T30" s="696"/>
      <c r="U30" s="697"/>
      <c r="V30" s="696"/>
      <c r="W30" s="697"/>
      <c r="X30" s="698"/>
      <c r="Y30" s="3816"/>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16"/>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16"/>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16"/>
      <c r="Q32" s="1344" t="str">
        <f t="shared" si="8"/>
        <v>毗邻道路的类型与等级</v>
      </c>
      <c r="R32" s="700" t="s">
        <v>14</v>
      </c>
      <c r="S32" s="701">
        <f t="shared" si="10"/>
        <v>100</v>
      </c>
      <c r="T32" s="700" t="s">
        <v>14</v>
      </c>
      <c r="U32" s="701">
        <f t="shared" si="11"/>
        <v>100</v>
      </c>
      <c r="V32" s="700" t="s">
        <v>14</v>
      </c>
      <c r="W32" s="701">
        <f t="shared" si="12"/>
        <v>100</v>
      </c>
      <c r="X32" s="1347"/>
      <c r="Y32" s="3816"/>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16"/>
      <c r="Q33" s="1344"/>
      <c r="R33" s="700"/>
      <c r="S33" s="701"/>
      <c r="T33" s="700"/>
      <c r="U33" s="701"/>
      <c r="V33" s="700"/>
      <c r="W33" s="701"/>
      <c r="X33" s="1347"/>
      <c r="Y33" s="3816"/>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16"/>
      <c r="Q34" s="1344" t="str">
        <f t="shared" si="8"/>
        <v>土地级别</v>
      </c>
      <c r="R34" s="700" t="s">
        <v>14</v>
      </c>
      <c r="S34" s="701">
        <f t="shared" si="10"/>
        <v>100</v>
      </c>
      <c r="T34" s="700" t="s">
        <v>14</v>
      </c>
      <c r="U34" s="701">
        <f t="shared" si="11"/>
        <v>100</v>
      </c>
      <c r="V34" s="700" t="s">
        <v>14</v>
      </c>
      <c r="W34" s="701">
        <f t="shared" si="12"/>
        <v>100</v>
      </c>
      <c r="X34" s="1347"/>
      <c r="Y34" s="3816"/>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16"/>
      <c r="Q35" s="1344">
        <f t="shared" si="8"/>
        <v>111</v>
      </c>
      <c r="R35" s="700" t="s">
        <v>14</v>
      </c>
      <c r="S35" s="701">
        <f t="shared" si="10"/>
        <v>100</v>
      </c>
      <c r="T35" s="700" t="s">
        <v>14</v>
      </c>
      <c r="U35" s="701">
        <f t="shared" si="11"/>
        <v>100</v>
      </c>
      <c r="V35" s="700" t="s">
        <v>14</v>
      </c>
      <c r="W35" s="701">
        <f t="shared" si="12"/>
        <v>100</v>
      </c>
      <c r="X35" s="1347"/>
      <c r="Y35" s="3816"/>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60" t="s">
        <v>1696</v>
      </c>
      <c r="Q36" s="1344">
        <f t="shared" si="8"/>
        <v>111</v>
      </c>
      <c r="R36" s="700" t="s">
        <v>14</v>
      </c>
      <c r="S36" s="701">
        <f t="shared" si="10"/>
        <v>100</v>
      </c>
      <c r="T36" s="700" t="s">
        <v>14</v>
      </c>
      <c r="U36" s="701">
        <f t="shared" si="11"/>
        <v>100</v>
      </c>
      <c r="V36" s="700" t="s">
        <v>14</v>
      </c>
      <c r="W36" s="701">
        <f t="shared" si="12"/>
        <v>100</v>
      </c>
      <c r="X36" s="1347"/>
      <c r="Y36" s="3820"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20"/>
      <c r="Q37" s="1344">
        <f t="shared" si="8"/>
        <v>111</v>
      </c>
      <c r="R37" s="703" t="s">
        <v>14</v>
      </c>
      <c r="S37" s="704">
        <f t="shared" si="10"/>
        <v>100</v>
      </c>
      <c r="T37" s="703" t="s">
        <v>14</v>
      </c>
      <c r="U37" s="704">
        <f t="shared" si="11"/>
        <v>100</v>
      </c>
      <c r="V37" s="703" t="s">
        <v>14</v>
      </c>
      <c r="W37" s="704">
        <f t="shared" si="12"/>
        <v>100</v>
      </c>
      <c r="X37" s="705"/>
      <c r="Y37" s="3820"/>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20"/>
      <c r="Q38" s="1344" t="str">
        <f>B38</f>
        <v>宗地面积</v>
      </c>
      <c r="R38" s="700" t="s">
        <v>14</v>
      </c>
      <c r="S38" s="701" t="e">
        <f t="shared" si="10"/>
        <v>#REF!</v>
      </c>
      <c r="T38" s="700" t="s">
        <v>14</v>
      </c>
      <c r="U38" s="701" t="e">
        <f t="shared" si="11"/>
        <v>#REF!</v>
      </c>
      <c r="V38" s="700" t="s">
        <v>14</v>
      </c>
      <c r="W38" s="701" t="e">
        <f t="shared" si="12"/>
        <v>#REF!</v>
      </c>
      <c r="X38" s="1347"/>
      <c r="Y38" s="3820"/>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20"/>
      <c r="Q39" s="1344" t="str">
        <f t="shared" ref="Q39:Q45" si="14">B39</f>
        <v>宗地形状</v>
      </c>
      <c r="R39" s="700" t="s">
        <v>14</v>
      </c>
      <c r="S39" s="701">
        <f t="shared" si="10"/>
        <v>102</v>
      </c>
      <c r="T39" s="700" t="s">
        <v>14</v>
      </c>
      <c r="U39" s="701">
        <f t="shared" si="11"/>
        <v>102</v>
      </c>
      <c r="V39" s="700" t="s">
        <v>14</v>
      </c>
      <c r="W39" s="701">
        <f t="shared" si="12"/>
        <v>102</v>
      </c>
      <c r="X39" s="1347"/>
      <c r="Y39" s="3820"/>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20"/>
      <c r="Q40" s="1344" t="str">
        <f t="shared" si="14"/>
        <v>临街宽度及深度</v>
      </c>
      <c r="R40" s="700" t="s">
        <v>14</v>
      </c>
      <c r="S40" s="701">
        <f t="shared" si="10"/>
        <v>100</v>
      </c>
      <c r="T40" s="700" t="s">
        <v>14</v>
      </c>
      <c r="U40" s="701">
        <f t="shared" si="11"/>
        <v>100</v>
      </c>
      <c r="V40" s="700" t="s">
        <v>14</v>
      </c>
      <c r="W40" s="701">
        <f t="shared" si="12"/>
        <v>100</v>
      </c>
      <c r="X40" s="1347"/>
      <c r="Y40" s="3820"/>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20"/>
      <c r="Q41" s="1344" t="str">
        <f t="shared" si="14"/>
        <v>宗地开发程度</v>
      </c>
      <c r="R41" s="696" t="s">
        <v>14</v>
      </c>
      <c r="S41" s="697">
        <f t="shared" si="10"/>
        <v>99</v>
      </c>
      <c r="T41" s="696" t="s">
        <v>14</v>
      </c>
      <c r="U41" s="697">
        <f t="shared" si="11"/>
        <v>99</v>
      </c>
      <c r="V41" s="696" t="s">
        <v>14</v>
      </c>
      <c r="W41" s="697">
        <f t="shared" si="12"/>
        <v>99</v>
      </c>
      <c r="X41" s="698"/>
      <c r="Y41" s="3820"/>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20" t="s">
        <v>1696</v>
      </c>
      <c r="Q42" s="1344" t="str">
        <f t="shared" si="14"/>
        <v>工程地质条件</v>
      </c>
      <c r="R42" s="700" t="s">
        <v>14</v>
      </c>
      <c r="S42" s="701">
        <f t="shared" si="10"/>
        <v>100</v>
      </c>
      <c r="T42" s="700" t="s">
        <v>14</v>
      </c>
      <c r="U42" s="701">
        <f t="shared" si="11"/>
        <v>100</v>
      </c>
      <c r="V42" s="700" t="s">
        <v>14</v>
      </c>
      <c r="W42" s="701">
        <f t="shared" si="12"/>
        <v>100</v>
      </c>
      <c r="X42" s="1347"/>
      <c r="Y42" s="3820"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20"/>
      <c r="Q43" s="1344">
        <f t="shared" si="14"/>
        <v>111</v>
      </c>
      <c r="R43" s="700" t="s">
        <v>14</v>
      </c>
      <c r="S43" s="701">
        <f t="shared" si="10"/>
        <v>100</v>
      </c>
      <c r="T43" s="700" t="s">
        <v>14</v>
      </c>
      <c r="U43" s="701">
        <f t="shared" si="11"/>
        <v>100</v>
      </c>
      <c r="V43" s="700" t="s">
        <v>14</v>
      </c>
      <c r="W43" s="701">
        <f t="shared" si="12"/>
        <v>100</v>
      </c>
      <c r="X43" s="1347"/>
      <c r="Y43" s="3820"/>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20"/>
      <c r="Q44" s="1344">
        <f t="shared" si="14"/>
        <v>111</v>
      </c>
      <c r="R44" s="700" t="s">
        <v>14</v>
      </c>
      <c r="S44" s="701">
        <f t="shared" si="10"/>
        <v>100</v>
      </c>
      <c r="T44" s="700" t="s">
        <v>14</v>
      </c>
      <c r="U44" s="701">
        <f t="shared" si="11"/>
        <v>100</v>
      </c>
      <c r="V44" s="700" t="s">
        <v>14</v>
      </c>
      <c r="W44" s="701">
        <f t="shared" si="12"/>
        <v>100</v>
      </c>
      <c r="X44" s="1347"/>
      <c r="Y44" s="3820"/>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20"/>
      <c r="Q45" s="1344">
        <f t="shared" si="14"/>
        <v>111</v>
      </c>
      <c r="R45" s="703" t="s">
        <v>14</v>
      </c>
      <c r="S45" s="704">
        <f t="shared" si="10"/>
        <v>100</v>
      </c>
      <c r="T45" s="703" t="s">
        <v>14</v>
      </c>
      <c r="U45" s="704">
        <f t="shared" si="11"/>
        <v>100</v>
      </c>
      <c r="V45" s="703" t="s">
        <v>14</v>
      </c>
      <c r="W45" s="704">
        <f t="shared" si="12"/>
        <v>100</v>
      </c>
      <c r="X45" s="705"/>
      <c r="Y45" s="3820"/>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13" t="str">
        <f>A46</f>
        <v>成交单价</v>
      </c>
      <c r="Q46" s="3813"/>
      <c r="R46" s="3844" t="e">
        <f>E46</f>
        <v>#REF!</v>
      </c>
      <c r="S46" s="3844"/>
      <c r="T46" s="3844" t="e">
        <f>G46</f>
        <v>#REF!</v>
      </c>
      <c r="U46" s="3844"/>
      <c r="V46" s="3844" t="e">
        <f>I46</f>
        <v>#REF!</v>
      </c>
      <c r="W46" s="3844"/>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13" t="str">
        <f>A47</f>
        <v>比较价值（元/平方米）</v>
      </c>
      <c r="Q47" s="3813"/>
      <c r="R47" s="3857" t="e">
        <f>ROUND(PRODUCT(R46,AA7:AA45),0)</f>
        <v>#REF!</v>
      </c>
      <c r="S47" s="3857"/>
      <c r="T47" s="3857" t="e">
        <f>ROUND(PRODUCT(T46,AB7:AB45),0)</f>
        <v>#REF!</v>
      </c>
      <c r="U47" s="3857"/>
      <c r="V47" s="3857" t="e">
        <f>ROUND(PRODUCT(V46,AC7:AC45),0)</f>
        <v>#REF!</v>
      </c>
      <c r="W47" s="3857"/>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10" t="str">
        <f>A48</f>
        <v>估价对象XX用房的比较价值（楼面单价，元/平方米）</v>
      </c>
      <c r="Q48" s="3811"/>
      <c r="R48" s="3858" t="e">
        <f>ROUND(IF(D47="简单平均",AVERAGE(R47:W47),R47*F47+T47*H47+V47*J47),0)</f>
        <v>#REF!</v>
      </c>
      <c r="S48" s="3858"/>
      <c r="T48" s="3858"/>
      <c r="U48" s="3858"/>
      <c r="V48" s="3858"/>
      <c r="W48" s="3858"/>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28" t="s">
        <v>1887</v>
      </c>
      <c r="H55" s="3859"/>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1365.98</v>
      </c>
      <c r="F56" s="878" t="e">
        <f t="shared" ref="F56:F64" si="15">ROUND(B56*E56/10000,0)</f>
        <v>#REF!</v>
      </c>
      <c r="G56" s="3824"/>
      <c r="H56" s="3813"/>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0</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1365.98</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2024-1-1</v>
      </c>
      <c r="D67" s="687">
        <f>EDATE(C67,-3)</f>
        <v>45200</v>
      </c>
      <c r="E67" s="687">
        <f>EDATE(D67,-3)</f>
        <v>45108</v>
      </c>
      <c r="F67" s="687">
        <f t="shared" ref="F67:O67" si="18">EDATE(E67,-3)</f>
        <v>45017</v>
      </c>
      <c r="G67" s="687">
        <f t="shared" si="18"/>
        <v>44927</v>
      </c>
      <c r="H67" s="687">
        <f t="shared" si="18"/>
        <v>44835</v>
      </c>
      <c r="I67" s="687">
        <f t="shared" si="18"/>
        <v>44743</v>
      </c>
      <c r="J67" s="687">
        <f t="shared" si="18"/>
        <v>44652</v>
      </c>
      <c r="K67" s="687">
        <f t="shared" si="18"/>
        <v>44562</v>
      </c>
      <c r="L67" s="687">
        <f t="shared" si="18"/>
        <v>44470</v>
      </c>
      <c r="M67" s="687">
        <f t="shared" si="18"/>
        <v>44378</v>
      </c>
      <c r="N67" s="687">
        <f t="shared" si="18"/>
        <v>44287</v>
      </c>
      <c r="O67" s="687">
        <f t="shared" si="18"/>
        <v>44197</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26</v>
      </c>
      <c r="D10" s="837">
        <f ca="1">IF(B1="",'数据-汇总表'!E6,IF(INDIRECT("'数据-取费表'!c"&amp;$G$1)="住宅",INDIRECT("'数据-取费表'!s"&amp;$G$1),INDIRECT("'数据-取费表'!k"&amp;$G$1)+INDIRECT("'数据-取费表'!s"&amp;$G$1)))</f>
        <v>1365.98</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27</v>
      </c>
      <c r="D19" s="841">
        <f ca="1">D9+D10</f>
        <v>1365.98</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8.9999999999999998E-4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t="e">
        <f ca="1">C28</f>
        <v>#REF!</v>
      </c>
      <c r="D27" s="235">
        <f ca="1">C29</f>
        <v>3.2000000000000002E-3</v>
      </c>
      <c r="E27" s="236" t="s">
        <v>1514</v>
      </c>
      <c r="F27" s="246">
        <f ca="1">IF(B1="",'数据-取费表'!Q16,INDIRECT("'数据-取费表'!q"&amp;$G$1))</f>
        <v>0.16</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900</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820</v>
      </c>
      <c r="D34" s="217"/>
      <c r="E34" s="220"/>
      <c r="F34" s="257">
        <f ca="1">IF('数据-取费表'!B24=0,1,IF(B1="",'数据-取费表'!N16,INDIRECT("'数据-取费表'!n"&amp;$G$1)))</f>
        <v>1</v>
      </c>
      <c r="G34" s="219" t="s">
        <v>1526</v>
      </c>
    </row>
    <row r="35" spans="1:7" ht="13.5" customHeight="1">
      <c r="A35" s="772" t="s">
        <v>351</v>
      </c>
      <c r="B35" s="215" t="s">
        <v>1527</v>
      </c>
      <c r="C35" s="220">
        <f ca="1">ROUND(C34*F35,0)</f>
        <v>41</v>
      </c>
      <c r="D35" s="220"/>
      <c r="E35" s="220"/>
      <c r="F35" s="259">
        <f>'数据-取费表'!B33</f>
        <v>0.05</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2" t="s">
        <v>353</v>
      </c>
      <c r="B37" s="215" t="s">
        <v>1531</v>
      </c>
      <c r="C37" s="249">
        <f ca="1">ROUND(E37*D37*F34/10000,0)</f>
        <v>27</v>
      </c>
      <c r="D37" s="217">
        <f ca="1">D19</f>
        <v>1365.98</v>
      </c>
      <c r="E37" s="249">
        <f>'数据-取费表'!B35</f>
        <v>200</v>
      </c>
      <c r="F37" s="259"/>
      <c r="G37" s="261" t="s">
        <v>1532</v>
      </c>
    </row>
    <row r="38" spans="1:7" ht="13.5" customHeight="1">
      <c r="A38" s="772" t="s">
        <v>354</v>
      </c>
      <c r="B38" s="215" t="s">
        <v>1533</v>
      </c>
      <c r="C38" s="220">
        <f ca="1">ROUND(C34*F38,0)</f>
        <v>12</v>
      </c>
      <c r="D38" s="220"/>
      <c r="E38" s="220"/>
      <c r="F38" s="259">
        <f>'数据-取费表'!B36</f>
        <v>1.4999999999999999E-2</v>
      </c>
      <c r="G38" s="219" t="s">
        <v>1528</v>
      </c>
    </row>
    <row r="39" spans="1:7" s="214" customFormat="1" ht="13.5" customHeight="1">
      <c r="A39" s="255" t="s">
        <v>1534</v>
      </c>
      <c r="B39" s="210" t="s">
        <v>1535</v>
      </c>
      <c r="C39" s="232">
        <f ca="1">ROUND(C33*F20,0)</f>
        <v>18</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40</v>
      </c>
      <c r="D41" s="235">
        <f ca="1">C44</f>
        <v>8.9999999999999998E-4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39</v>
      </c>
      <c r="D42" s="238"/>
      <c r="E42" s="238"/>
      <c r="F42" s="239"/>
      <c r="G42" s="3862" t="s">
        <v>1544</v>
      </c>
    </row>
    <row r="43" spans="1:7" ht="13.5" customHeight="1">
      <c r="A43" s="772" t="s">
        <v>347</v>
      </c>
      <c r="B43" s="215" t="s">
        <v>1545</v>
      </c>
      <c r="C43" s="238">
        <f ca="1">ROUND(IF('数据-取费表'!B22&lt;=1,C39*F22*'数据-取费表'!B21/2,C39*(POWER((1+F22),'数据-取费表'!B21/2)-1)),0)</f>
        <v>1</v>
      </c>
      <c r="D43" s="238"/>
      <c r="E43" s="238"/>
      <c r="F43" s="239"/>
      <c r="G43" s="3863"/>
    </row>
    <row r="44" spans="1:7" ht="13.5" customHeight="1">
      <c r="A44" s="772" t="s">
        <v>348</v>
      </c>
      <c r="B44" s="215" t="s">
        <v>1546</v>
      </c>
      <c r="C44" s="238">
        <f ca="1">ROUND(IF('数据-取费表'!B22&lt;=1,C40*F22*'数据-取费表'!B21/2,C40*(POWER((1+F22),'数据-取费表'!B21/2)-1)),4)</f>
        <v>8.9999999999999998E-4</v>
      </c>
      <c r="D44" s="238"/>
      <c r="E44" s="238"/>
      <c r="F44" s="239"/>
      <c r="G44" s="3864"/>
    </row>
    <row r="45" spans="1:7" s="214" customFormat="1" ht="13.5" customHeight="1">
      <c r="A45" s="255" t="s">
        <v>1547</v>
      </c>
      <c r="B45" s="244" t="s">
        <v>1513</v>
      </c>
      <c r="C45" s="245">
        <f ca="1">C46</f>
        <v>147</v>
      </c>
      <c r="D45" s="235">
        <f ca="1">C47</f>
        <v>3.2000000000000002E-3</v>
      </c>
      <c r="E45" s="236" t="s">
        <v>1539</v>
      </c>
      <c r="F45" s="246">
        <f ca="1">F27</f>
        <v>0.16</v>
      </c>
      <c r="G45" s="247" t="s">
        <v>1548</v>
      </c>
    </row>
    <row r="46" spans="1:7" s="214" customFormat="1" ht="13.5" customHeight="1">
      <c r="A46" s="772" t="s">
        <v>346</v>
      </c>
      <c r="B46" s="248" t="s">
        <v>1549</v>
      </c>
      <c r="C46" s="249">
        <f ca="1">ROUND((C33+C39)*F27,0)</f>
        <v>147</v>
      </c>
      <c r="D46" s="263"/>
      <c r="E46" s="236"/>
      <c r="F46" s="246"/>
      <c r="G46" s="247"/>
    </row>
    <row r="47" spans="1:7" s="214" customFormat="1" ht="13.5" customHeight="1">
      <c r="A47" s="772" t="s">
        <v>347</v>
      </c>
      <c r="B47" s="248" t="s">
        <v>1550</v>
      </c>
      <c r="C47" s="238">
        <f ca="1">ROUND(C40*F27,4)</f>
        <v>3.2000000000000002E-3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1197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1137</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8.9999999999999998E-4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0.05</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8.9999999999999998E-4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62" t="s">
        <v>1591</v>
      </c>
    </row>
    <row r="43" spans="1:7" ht="13.5" customHeight="1">
      <c r="A43" s="772" t="s">
        <v>347</v>
      </c>
      <c r="B43" s="215" t="s">
        <v>1545</v>
      </c>
      <c r="C43" s="238" t="e">
        <f ca="1">ROUND(IF('数据-取费表'!B22&lt;=1,C39*F22*'数据-取费表'!B20/2,C39*(POWER((1+F22),'数据-取费表'!B20/2)-1)),0)</f>
        <v>#N/A</v>
      </c>
      <c r="D43" s="238"/>
      <c r="E43" s="238"/>
      <c r="F43" s="239"/>
      <c r="G43" s="3863"/>
    </row>
    <row r="44" spans="1:7" ht="13.5" customHeight="1">
      <c r="A44" s="772" t="s">
        <v>348</v>
      </c>
      <c r="B44" s="215" t="s">
        <v>1546</v>
      </c>
      <c r="C44" s="238">
        <f ca="1">ROUND(IF('数据-取费表'!B22&lt;=1,C40*F22*'数据-取费表'!B20/2,C40*(POWER((1+F22),'数据-取费表'!B20/2)-1)),4)</f>
        <v>8.9999999999999998E-4</v>
      </c>
      <c r="D44" s="238"/>
      <c r="E44" s="238"/>
      <c r="F44" s="239"/>
      <c r="G44" s="3864"/>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307</v>
      </c>
      <c r="C2" s="276" t="s">
        <v>1595</v>
      </c>
      <c r="D2" s="276"/>
      <c r="E2" s="2790"/>
      <c r="F2" s="2790"/>
      <c r="G2" s="2790"/>
      <c r="H2" s="2790"/>
      <c r="I2" s="2790"/>
      <c r="J2" s="2790"/>
      <c r="K2" s="2790"/>
    </row>
    <row r="3" spans="1:33" ht="18" customHeight="1" thickBot="1">
      <c r="A3" s="203" t="s">
        <v>1464</v>
      </c>
      <c r="B3" s="204">
        <f ca="1">ROUND(B2*10000/IF(C1="",'数据-汇总表'!E3,INDIRECT("'数据-取费表'!K"&amp;$K$1)),0)</f>
        <v>2247</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1365.98</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1365.98</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-267</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26</v>
      </c>
      <c r="D20" s="838">
        <f ca="1">IF(C1="",'数据-汇总表'!E6,IF(INDIRECT("'数据-取费表'!c"&amp;$K$1)="住宅",INDIRECT("'数据-取费表'!s"&amp;$K$1),INDIRECT("'数据-取费表'!k"&amp;$K$1)+INDIRECT("'数据-取费表'!s"&amp;$K$1)))</f>
        <v>1365.98</v>
      </c>
      <c r="E20" s="21">
        <f>'数据-取费表'!B28</f>
        <v>190</v>
      </c>
      <c r="F20" s="796"/>
      <c r="G20" s="12"/>
      <c r="H20" s="801"/>
      <c r="I20" s="801"/>
      <c r="J20" s="801"/>
      <c r="K20" s="802"/>
    </row>
    <row r="21" spans="1:33" s="795" customFormat="1" ht="13.5" customHeight="1">
      <c r="A21" s="782" t="s">
        <v>357</v>
      </c>
      <c r="B21" s="805" t="s">
        <v>1628</v>
      </c>
      <c r="C21" s="806">
        <f ca="1">C16+C17+C18</f>
        <v>-267</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-44</v>
      </c>
      <c r="D28" s="280">
        <f ca="1">C29</f>
        <v>0</v>
      </c>
      <c r="E28" s="282" t="s">
        <v>12</v>
      </c>
      <c r="F28" s="288">
        <f ca="1">IF(C1="",'数据-取费表'!Q16,INDIRECT("'数据-取费表'!q"&amp;$K$1))</f>
        <v>0.16</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-44</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307</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t="e">
        <f>IF(E1="项目模式",IF(C2="——",ROUND(C43*D3/10000,0),ROUND(C43*D3/10000,0)-D2),IF(E1="单套模式",IF(C2="——",ROUND(C43*D3/10000,4),ROUND(C43*D3/10000,4)-D2)))</f>
        <v>#DIV/0!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t="e">
        <f>IF(C2="——",C43,ROUND(B2*10000/D3,0))</f>
        <v>#DIV/0!</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28" t="s">
        <v>1770</v>
      </c>
      <c r="D4" s="3829"/>
      <c r="E4" s="3830" t="s">
        <v>1771</v>
      </c>
      <c r="F4" s="3831"/>
      <c r="G4" s="3828" t="s">
        <v>1772</v>
      </c>
      <c r="H4" s="3829"/>
      <c r="I4" s="3828" t="s">
        <v>1773</v>
      </c>
      <c r="J4" s="3829"/>
      <c r="K4" s="556" t="s">
        <v>1774</v>
      </c>
      <c r="L4" s="905"/>
      <c r="M4" s="906"/>
      <c r="N4" s="906"/>
      <c r="O4" s="906"/>
      <c r="P4" s="3832" t="s">
        <v>1775</v>
      </c>
      <c r="Q4" s="3833"/>
      <c r="R4" s="3838" t="s">
        <v>1771</v>
      </c>
      <c r="S4" s="3839"/>
      <c r="T4" s="3838" t="s">
        <v>1772</v>
      </c>
      <c r="U4" s="3839"/>
      <c r="V4" s="3844" t="s">
        <v>1773</v>
      </c>
      <c r="W4" s="3844"/>
      <c r="X4" s="1347"/>
      <c r="Y4" s="3838" t="s">
        <v>1775</v>
      </c>
      <c r="Z4" s="3839"/>
      <c r="AA4" s="3825" t="s">
        <v>1771</v>
      </c>
      <c r="AB4" s="3826" t="s">
        <v>1772</v>
      </c>
      <c r="AC4" s="3825" t="s">
        <v>1773</v>
      </c>
    </row>
    <row r="5" spans="1:29" ht="15">
      <c r="A5" s="358"/>
      <c r="B5" s="359"/>
      <c r="C5" s="3852" t="s">
        <v>1673</v>
      </c>
      <c r="D5" s="3848"/>
      <c r="E5" s="3855" t="s">
        <v>3429</v>
      </c>
      <c r="F5" s="3856"/>
      <c r="G5" s="3847" t="s">
        <v>3400</v>
      </c>
      <c r="H5" s="3848"/>
      <c r="I5" s="3847" t="s">
        <v>3428</v>
      </c>
      <c r="J5" s="3848"/>
      <c r="K5" s="556"/>
      <c r="L5" s="905"/>
      <c r="M5" s="906"/>
      <c r="N5" s="906"/>
      <c r="O5" s="906"/>
      <c r="P5" s="3834"/>
      <c r="Q5" s="3835"/>
      <c r="R5" s="3840"/>
      <c r="S5" s="3841"/>
      <c r="T5" s="3840"/>
      <c r="U5" s="3841"/>
      <c r="V5" s="3844"/>
      <c r="W5" s="3844"/>
      <c r="X5" s="1347"/>
      <c r="Y5" s="3840"/>
      <c r="Z5" s="3841"/>
      <c r="AA5" s="3826"/>
      <c r="AB5" s="3826"/>
      <c r="AC5" s="3826"/>
    </row>
    <row r="6" spans="1:29" ht="15.75" thickBot="1">
      <c r="A6" s="360"/>
      <c r="B6" s="361"/>
      <c r="C6" s="3845" t="s">
        <v>1677</v>
      </c>
      <c r="D6" s="3846"/>
      <c r="E6" s="3853" t="s">
        <v>1677</v>
      </c>
      <c r="F6" s="3854"/>
      <c r="G6" s="3845" t="s">
        <v>1677</v>
      </c>
      <c r="H6" s="3846"/>
      <c r="I6" s="3845" t="s">
        <v>1677</v>
      </c>
      <c r="J6" s="3846"/>
      <c r="K6" s="556" t="s">
        <v>1678</v>
      </c>
      <c r="L6" s="905"/>
      <c r="M6" s="906"/>
      <c r="N6" s="906"/>
      <c r="O6" s="906"/>
      <c r="P6" s="3836"/>
      <c r="Q6" s="3837"/>
      <c r="R6" s="3840"/>
      <c r="S6" s="3841"/>
      <c r="T6" s="3842"/>
      <c r="U6" s="3843"/>
      <c r="V6" s="3844"/>
      <c r="W6" s="3844"/>
      <c r="X6" s="1347"/>
      <c r="Y6" s="3842"/>
      <c r="Z6" s="3843"/>
      <c r="AA6" s="3827"/>
      <c r="AB6" s="3827"/>
      <c r="AC6" s="3827"/>
    </row>
    <row r="7" spans="1:29" s="108" customFormat="1" ht="15.75" thickBot="1">
      <c r="A7" s="362" t="s">
        <v>1679</v>
      </c>
      <c r="B7" s="363"/>
      <c r="C7" s="364">
        <f>'数据-取费表'!B2</f>
        <v>45320</v>
      </c>
      <c r="D7" s="365">
        <v>100</v>
      </c>
      <c r="E7" s="366">
        <v>45170</v>
      </c>
      <c r="F7" s="367">
        <f>SUMIF(52:52,YEAR(E7)&amp;"-"&amp;MONTH(E7),53:53)</f>
        <v>0</v>
      </c>
      <c r="G7" s="366">
        <v>45170</v>
      </c>
      <c r="H7" s="365">
        <f>SUMIF(52:52,YEAR(G7)&amp;"-"&amp;MONTH(G7),53:53)</f>
        <v>0</v>
      </c>
      <c r="I7" s="366">
        <v>45170</v>
      </c>
      <c r="J7" s="365">
        <f>SUMIF(52:52,YEAR(I7)&amp;"-"&amp;MONTH(I7),53:53)</f>
        <v>0</v>
      </c>
      <c r="K7" s="557"/>
      <c r="L7" s="907"/>
      <c r="M7" s="908"/>
      <c r="N7" s="908"/>
      <c r="O7" s="908"/>
      <c r="P7" s="3849" t="s">
        <v>1680</v>
      </c>
      <c r="Q7" s="3851"/>
      <c r="R7" s="696" t="s">
        <v>14</v>
      </c>
      <c r="S7" s="697">
        <f t="shared" ref="S7:S15" si="0">F7</f>
        <v>0</v>
      </c>
      <c r="T7" s="696" t="s">
        <v>14</v>
      </c>
      <c r="U7" s="697">
        <f t="shared" ref="U7:U15" si="1">H7</f>
        <v>0</v>
      </c>
      <c r="V7" s="696" t="s">
        <v>14</v>
      </c>
      <c r="W7" s="697">
        <f t="shared" ref="W7:W15" si="2">J7</f>
        <v>0</v>
      </c>
      <c r="X7" s="698"/>
      <c r="Y7" s="3849" t="s">
        <v>1680</v>
      </c>
      <c r="Z7" s="3850"/>
      <c r="AA7" s="699" t="e">
        <f>D7/F7</f>
        <v>#DIV/0!</v>
      </c>
      <c r="AB7" s="699" t="e">
        <f>D7/H7</f>
        <v>#DIV/0!</v>
      </c>
      <c r="AC7" s="699" t="e">
        <f>D7/J7</f>
        <v>#DIV/0!</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49" t="s">
        <v>1683</v>
      </c>
      <c r="Q8" s="3850"/>
      <c r="R8" s="696" t="s">
        <v>14</v>
      </c>
      <c r="S8" s="697">
        <f t="shared" si="0"/>
        <v>101</v>
      </c>
      <c r="T8" s="696" t="s">
        <v>14</v>
      </c>
      <c r="U8" s="697">
        <f t="shared" si="1"/>
        <v>101</v>
      </c>
      <c r="V8" s="696" t="s">
        <v>14</v>
      </c>
      <c r="W8" s="697">
        <f t="shared" si="2"/>
        <v>101</v>
      </c>
      <c r="X8" s="698"/>
      <c r="Y8" s="3849" t="s">
        <v>1683</v>
      </c>
      <c r="Z8" s="3850"/>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13" t="s">
        <v>1686</v>
      </c>
      <c r="Q9" s="1335" t="str">
        <f t="shared" ref="Q9:Q15" si="6">B9</f>
        <v>用途</v>
      </c>
      <c r="R9" s="696" t="s">
        <v>14</v>
      </c>
      <c r="S9" s="697">
        <f t="shared" si="0"/>
        <v>100</v>
      </c>
      <c r="T9" s="696" t="s">
        <v>14</v>
      </c>
      <c r="U9" s="697">
        <f t="shared" si="1"/>
        <v>100</v>
      </c>
      <c r="V9" s="696" t="s">
        <v>14</v>
      </c>
      <c r="W9" s="697">
        <f t="shared" si="2"/>
        <v>100</v>
      </c>
      <c r="X9" s="698"/>
      <c r="Y9" s="3717"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13"/>
      <c r="Q10" s="1335" t="str">
        <f t="shared" si="6"/>
        <v>土地使用年限（年）</v>
      </c>
      <c r="R10" s="696" t="s">
        <v>14</v>
      </c>
      <c r="S10" s="697">
        <f t="shared" si="0"/>
        <v>100</v>
      </c>
      <c r="T10" s="696" t="s">
        <v>14</v>
      </c>
      <c r="U10" s="697">
        <f t="shared" si="1"/>
        <v>100</v>
      </c>
      <c r="V10" s="696" t="s">
        <v>14</v>
      </c>
      <c r="W10" s="697">
        <f t="shared" si="2"/>
        <v>100</v>
      </c>
      <c r="X10" s="698"/>
      <c r="Y10" s="3717"/>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13"/>
      <c r="Q11" s="1335" t="str">
        <f t="shared" si="6"/>
        <v>容积率</v>
      </c>
      <c r="R11" s="696" t="s">
        <v>14</v>
      </c>
      <c r="S11" s="697">
        <f t="shared" si="0"/>
        <v>100</v>
      </c>
      <c r="T11" s="696" t="s">
        <v>14</v>
      </c>
      <c r="U11" s="697">
        <f t="shared" si="1"/>
        <v>100</v>
      </c>
      <c r="V11" s="696" t="s">
        <v>14</v>
      </c>
      <c r="W11" s="697">
        <f t="shared" si="2"/>
        <v>100</v>
      </c>
      <c r="X11" s="698"/>
      <c r="Y11" s="3717"/>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13"/>
      <c r="Q12" s="1335">
        <f t="shared" si="6"/>
        <v>111</v>
      </c>
      <c r="R12" s="696" t="s">
        <v>14</v>
      </c>
      <c r="S12" s="697">
        <f t="shared" si="0"/>
        <v>100</v>
      </c>
      <c r="T12" s="696" t="s">
        <v>14</v>
      </c>
      <c r="U12" s="697">
        <f t="shared" si="1"/>
        <v>100</v>
      </c>
      <c r="V12" s="696" t="s">
        <v>14</v>
      </c>
      <c r="W12" s="697">
        <f t="shared" si="2"/>
        <v>100</v>
      </c>
      <c r="X12" s="698"/>
      <c r="Y12" s="3717"/>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13"/>
      <c r="Q13" s="1335">
        <f t="shared" si="6"/>
        <v>111</v>
      </c>
      <c r="R13" s="696" t="s">
        <v>14</v>
      </c>
      <c r="S13" s="697">
        <f t="shared" si="0"/>
        <v>100</v>
      </c>
      <c r="T13" s="696" t="s">
        <v>14</v>
      </c>
      <c r="U13" s="697">
        <f t="shared" si="1"/>
        <v>100</v>
      </c>
      <c r="V13" s="696" t="s">
        <v>14</v>
      </c>
      <c r="W13" s="697">
        <f t="shared" si="2"/>
        <v>100</v>
      </c>
      <c r="X13" s="698"/>
      <c r="Y13" s="3717"/>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13"/>
      <c r="Q14" s="1335">
        <f t="shared" si="6"/>
        <v>111</v>
      </c>
      <c r="R14" s="696" t="s">
        <v>14</v>
      </c>
      <c r="S14" s="697">
        <f t="shared" si="0"/>
        <v>100</v>
      </c>
      <c r="T14" s="696" t="s">
        <v>14</v>
      </c>
      <c r="U14" s="697">
        <f t="shared" si="1"/>
        <v>100</v>
      </c>
      <c r="V14" s="696" t="s">
        <v>14</v>
      </c>
      <c r="W14" s="697">
        <f t="shared" si="2"/>
        <v>100</v>
      </c>
      <c r="X14" s="698"/>
      <c r="Y14" s="3717"/>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15" t="s">
        <v>1691</v>
      </c>
      <c r="Q15" s="1344" t="str">
        <f t="shared" si="6"/>
        <v>产业集聚程度</v>
      </c>
      <c r="R15" s="700" t="s">
        <v>14</v>
      </c>
      <c r="S15" s="701">
        <f t="shared" si="0"/>
        <v>100</v>
      </c>
      <c r="T15" s="700" t="s">
        <v>14</v>
      </c>
      <c r="U15" s="701">
        <f t="shared" si="1"/>
        <v>100</v>
      </c>
      <c r="V15" s="700" t="s">
        <v>14</v>
      </c>
      <c r="W15" s="701">
        <f t="shared" si="2"/>
        <v>100</v>
      </c>
      <c r="X15" s="1347"/>
      <c r="Y15" s="3815"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16"/>
      <c r="Q16" s="1344"/>
      <c r="R16" s="700"/>
      <c r="S16" s="701"/>
      <c r="T16" s="700"/>
      <c r="U16" s="701"/>
      <c r="V16" s="700"/>
      <c r="W16" s="701"/>
      <c r="X16" s="1347"/>
      <c r="Y16" s="3816"/>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16"/>
      <c r="Q17" s="1344" t="str">
        <f>B17</f>
        <v>交通便捷度</v>
      </c>
      <c r="R17" s="700" t="s">
        <v>14</v>
      </c>
      <c r="S17" s="701">
        <f>F17</f>
        <v>100</v>
      </c>
      <c r="T17" s="700" t="s">
        <v>14</v>
      </c>
      <c r="U17" s="701">
        <f>H17</f>
        <v>100</v>
      </c>
      <c r="V17" s="700" t="s">
        <v>14</v>
      </c>
      <c r="W17" s="701">
        <f>J17</f>
        <v>100</v>
      </c>
      <c r="X17" s="1347"/>
      <c r="Y17" s="3816"/>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16"/>
      <c r="Q18" s="1344"/>
      <c r="R18" s="700"/>
      <c r="S18" s="701"/>
      <c r="T18" s="700"/>
      <c r="U18" s="701"/>
      <c r="V18" s="700"/>
      <c r="W18" s="701"/>
      <c r="X18" s="1347"/>
      <c r="Y18" s="3816"/>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16"/>
      <c r="Q19" s="1344" t="str">
        <f>B19</f>
        <v>公共配套设施</v>
      </c>
      <c r="R19" s="700" t="s">
        <v>14</v>
      </c>
      <c r="S19" s="701">
        <f>F19</f>
        <v>100</v>
      </c>
      <c r="T19" s="700" t="s">
        <v>14</v>
      </c>
      <c r="U19" s="701">
        <f>H19</f>
        <v>100</v>
      </c>
      <c r="V19" s="700" t="s">
        <v>14</v>
      </c>
      <c r="W19" s="701">
        <f>J19</f>
        <v>100</v>
      </c>
      <c r="X19" s="1347"/>
      <c r="Y19" s="3816"/>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16"/>
      <c r="Q20" s="1344"/>
      <c r="R20" s="700"/>
      <c r="S20" s="701"/>
      <c r="T20" s="700"/>
      <c r="U20" s="701"/>
      <c r="V20" s="700"/>
      <c r="W20" s="701"/>
      <c r="X20" s="1347"/>
      <c r="Y20" s="3816"/>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16"/>
      <c r="Q21" s="1344" t="str">
        <f>B21</f>
        <v>基础设施水平</v>
      </c>
      <c r="R21" s="700" t="s">
        <v>14</v>
      </c>
      <c r="S21" s="701">
        <f>F21</f>
        <v>100</v>
      </c>
      <c r="T21" s="700" t="s">
        <v>14</v>
      </c>
      <c r="U21" s="701">
        <f>H21</f>
        <v>100</v>
      </c>
      <c r="V21" s="700" t="s">
        <v>14</v>
      </c>
      <c r="W21" s="701">
        <f>J21</f>
        <v>100</v>
      </c>
      <c r="X21" s="1347"/>
      <c r="Y21" s="3816"/>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16"/>
      <c r="Q22" s="1344"/>
      <c r="R22" s="700"/>
      <c r="S22" s="701"/>
      <c r="T22" s="700"/>
      <c r="U22" s="701"/>
      <c r="V22" s="700"/>
      <c r="W22" s="701"/>
      <c r="X22" s="1347"/>
      <c r="Y22" s="3816"/>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16"/>
      <c r="Q23" s="1344" t="str">
        <f>B23</f>
        <v>环境质量</v>
      </c>
      <c r="R23" s="700" t="s">
        <v>14</v>
      </c>
      <c r="S23" s="701">
        <f>F23</f>
        <v>100</v>
      </c>
      <c r="T23" s="700" t="s">
        <v>14</v>
      </c>
      <c r="U23" s="701">
        <f>H23</f>
        <v>100</v>
      </c>
      <c r="V23" s="700" t="s">
        <v>14</v>
      </c>
      <c r="W23" s="701">
        <f>J23</f>
        <v>100</v>
      </c>
      <c r="X23" s="1347"/>
      <c r="Y23" s="3816"/>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16"/>
      <c r="Q24" s="1344"/>
      <c r="R24" s="700"/>
      <c r="S24" s="701"/>
      <c r="T24" s="700"/>
      <c r="U24" s="701"/>
      <c r="V24" s="700"/>
      <c r="W24" s="701"/>
      <c r="X24" s="1347"/>
      <c r="Y24" s="3816"/>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16"/>
      <c r="Q25" s="1344">
        <f>B25</f>
        <v>0</v>
      </c>
      <c r="R25" s="700" t="s">
        <v>14</v>
      </c>
      <c r="S25" s="701">
        <f>F25</f>
        <v>100</v>
      </c>
      <c r="T25" s="700" t="s">
        <v>14</v>
      </c>
      <c r="U25" s="701">
        <f>H25</f>
        <v>100</v>
      </c>
      <c r="V25" s="700" t="s">
        <v>14</v>
      </c>
      <c r="W25" s="701">
        <f>J25</f>
        <v>100</v>
      </c>
      <c r="X25" s="1347"/>
      <c r="Y25" s="3816"/>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16"/>
      <c r="Q26" s="1344">
        <f t="shared" ref="Q26:Q40" si="11">B26</f>
        <v>0</v>
      </c>
      <c r="R26" s="700" t="s">
        <v>14</v>
      </c>
      <c r="S26" s="701">
        <f>F26</f>
        <v>100</v>
      </c>
      <c r="T26" s="700" t="s">
        <v>14</v>
      </c>
      <c r="U26" s="701">
        <f>H26</f>
        <v>100</v>
      </c>
      <c r="V26" s="700" t="s">
        <v>14</v>
      </c>
      <c r="W26" s="701">
        <f>J26</f>
        <v>100</v>
      </c>
      <c r="X26" s="1347"/>
      <c r="Y26" s="3816"/>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16"/>
      <c r="Q27" s="1335">
        <f t="shared" si="11"/>
        <v>0</v>
      </c>
      <c r="R27" s="696" t="s">
        <v>14</v>
      </c>
      <c r="S27" s="697">
        <f>F27</f>
        <v>100</v>
      </c>
      <c r="T27" s="696" t="s">
        <v>14</v>
      </c>
      <c r="U27" s="697">
        <f>H27</f>
        <v>100</v>
      </c>
      <c r="V27" s="696" t="s">
        <v>14</v>
      </c>
      <c r="W27" s="697">
        <f>J27</f>
        <v>100</v>
      </c>
      <c r="X27" s="698"/>
      <c r="Y27" s="3816"/>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16"/>
      <c r="Q28" s="1344">
        <f t="shared" si="11"/>
        <v>0</v>
      </c>
      <c r="R28" s="700" t="s">
        <v>14</v>
      </c>
      <c r="S28" s="701">
        <f t="shared" ref="S28:S40" si="12">F28</f>
        <v>100</v>
      </c>
      <c r="T28" s="700" t="s">
        <v>14</v>
      </c>
      <c r="U28" s="701">
        <f t="shared" ref="U28:U40" si="13">H28</f>
        <v>100</v>
      </c>
      <c r="V28" s="700" t="s">
        <v>14</v>
      </c>
      <c r="W28" s="701">
        <f t="shared" ref="W28:W40" si="14">J28</f>
        <v>100</v>
      </c>
      <c r="X28" s="1347"/>
      <c r="Y28" s="3816"/>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60" t="s">
        <v>1696</v>
      </c>
      <c r="Q29" s="1344" t="str">
        <f t="shared" si="11"/>
        <v>建筑类型</v>
      </c>
      <c r="R29" s="700" t="s">
        <v>14</v>
      </c>
      <c r="S29" s="701">
        <f t="shared" si="12"/>
        <v>100</v>
      </c>
      <c r="T29" s="700" t="s">
        <v>14</v>
      </c>
      <c r="U29" s="701">
        <f t="shared" si="13"/>
        <v>100</v>
      </c>
      <c r="V29" s="700" t="s">
        <v>14</v>
      </c>
      <c r="W29" s="701">
        <f t="shared" si="14"/>
        <v>100</v>
      </c>
      <c r="X29" s="1347"/>
      <c r="Y29" s="3820"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244.44</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20"/>
      <c r="Q30" s="702" t="str">
        <f t="shared" si="11"/>
        <v>项目建筑规模</v>
      </c>
      <c r="R30" s="703" t="s">
        <v>14</v>
      </c>
      <c r="S30" s="704">
        <f t="shared" si="12"/>
        <v>101</v>
      </c>
      <c r="T30" s="703" t="s">
        <v>14</v>
      </c>
      <c r="U30" s="704">
        <f t="shared" si="13"/>
        <v>101</v>
      </c>
      <c r="V30" s="703" t="s">
        <v>14</v>
      </c>
      <c r="W30" s="704">
        <f t="shared" si="14"/>
        <v>101</v>
      </c>
      <c r="X30" s="705"/>
      <c r="Y30" s="3820"/>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20"/>
      <c r="Q31" s="1344" t="str">
        <f t="shared" si="11"/>
        <v>建筑结构</v>
      </c>
      <c r="R31" s="700" t="s">
        <v>14</v>
      </c>
      <c r="S31" s="701">
        <f t="shared" si="12"/>
        <v>100</v>
      </c>
      <c r="T31" s="700" t="s">
        <v>14</v>
      </c>
      <c r="U31" s="701">
        <f t="shared" si="13"/>
        <v>100</v>
      </c>
      <c r="V31" s="700" t="s">
        <v>14</v>
      </c>
      <c r="W31" s="701">
        <f t="shared" si="14"/>
        <v>100</v>
      </c>
      <c r="X31" s="1347"/>
      <c r="Y31" s="3820"/>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20"/>
      <c r="Q32" s="1344" t="str">
        <f t="shared" si="11"/>
        <v>公共部分装修</v>
      </c>
      <c r="R32" s="700" t="s">
        <v>14</v>
      </c>
      <c r="S32" s="701">
        <f t="shared" si="12"/>
        <v>100</v>
      </c>
      <c r="T32" s="700" t="s">
        <v>14</v>
      </c>
      <c r="U32" s="701">
        <f t="shared" si="13"/>
        <v>100</v>
      </c>
      <c r="V32" s="700" t="s">
        <v>14</v>
      </c>
      <c r="W32" s="701">
        <f t="shared" si="14"/>
        <v>100</v>
      </c>
      <c r="X32" s="1347"/>
      <c r="Y32" s="3820"/>
      <c r="Z32" s="1348" t="str">
        <f t="shared" si="15"/>
        <v>公共部分装修</v>
      </c>
      <c r="AA32" s="1345">
        <f t="shared" si="3"/>
        <v>1</v>
      </c>
      <c r="AB32" s="1345">
        <f t="shared" si="4"/>
        <v>1</v>
      </c>
      <c r="AC32" s="1345">
        <f t="shared" si="5"/>
        <v>1</v>
      </c>
    </row>
    <row r="33" spans="1:29" ht="15">
      <c r="A33" s="422"/>
      <c r="B33" s="374" t="s">
        <v>1786</v>
      </c>
      <c r="C33" s="3445">
        <f>'数据-取费表'!N20</f>
        <v>0.95</v>
      </c>
      <c r="D33" s="385">
        <v>100</v>
      </c>
      <c r="E33" s="424">
        <f>C33</f>
        <v>0.95</v>
      </c>
      <c r="F33" s="411">
        <f>LOOKUP(E33,98:98,99:99)-LOOKUP(C33,98:98,99:99)+100</f>
        <v>100</v>
      </c>
      <c r="G33" s="424">
        <f>E33</f>
        <v>0.95</v>
      </c>
      <c r="H33" s="411">
        <f>LOOKUP(G33,98:98,99:99)-LOOKUP(C33,98:98,99:99)+100</f>
        <v>100</v>
      </c>
      <c r="I33" s="424">
        <f>G33</f>
        <v>0.95</v>
      </c>
      <c r="J33" s="385">
        <f>LOOKUP(I33,98:98,99:99)-LOOKUP(C33,98:98,99:99)+100</f>
        <v>100</v>
      </c>
      <c r="K33" s="558">
        <v>1</v>
      </c>
      <c r="L33" s="915"/>
      <c r="M33" s="906"/>
      <c r="N33" s="906"/>
      <c r="O33" s="914"/>
      <c r="P33" s="3820"/>
      <c r="Q33" s="1344" t="str">
        <f t="shared" si="11"/>
        <v>成新度</v>
      </c>
      <c r="R33" s="700" t="s">
        <v>14</v>
      </c>
      <c r="S33" s="701">
        <f t="shared" si="12"/>
        <v>100</v>
      </c>
      <c r="T33" s="700" t="s">
        <v>14</v>
      </c>
      <c r="U33" s="701">
        <f t="shared" si="13"/>
        <v>100</v>
      </c>
      <c r="V33" s="700" t="s">
        <v>14</v>
      </c>
      <c r="W33" s="701">
        <f t="shared" si="14"/>
        <v>100</v>
      </c>
      <c r="X33" s="1347"/>
      <c r="Y33" s="3820"/>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20"/>
      <c r="Q34" s="1335" t="str">
        <f t="shared" si="11"/>
        <v>物业管理</v>
      </c>
      <c r="R34" s="696" t="s">
        <v>14</v>
      </c>
      <c r="S34" s="697">
        <f t="shared" si="12"/>
        <v>100</v>
      </c>
      <c r="T34" s="696" t="s">
        <v>14</v>
      </c>
      <c r="U34" s="697">
        <f t="shared" si="13"/>
        <v>100</v>
      </c>
      <c r="V34" s="696" t="s">
        <v>14</v>
      </c>
      <c r="W34" s="697">
        <f t="shared" si="14"/>
        <v>100</v>
      </c>
      <c r="X34" s="698"/>
      <c r="Y34" s="3820"/>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20" t="s">
        <v>1696</v>
      </c>
      <c r="Q35" s="1344" t="str">
        <f t="shared" si="11"/>
        <v>市政基础设施</v>
      </c>
      <c r="R35" s="700" t="s">
        <v>14</v>
      </c>
      <c r="S35" s="701">
        <f t="shared" si="12"/>
        <v>100</v>
      </c>
      <c r="T35" s="700" t="s">
        <v>14</v>
      </c>
      <c r="U35" s="701">
        <f t="shared" si="13"/>
        <v>100</v>
      </c>
      <c r="V35" s="700" t="s">
        <v>14</v>
      </c>
      <c r="W35" s="701">
        <f t="shared" si="14"/>
        <v>100</v>
      </c>
      <c r="X35" s="1347"/>
      <c r="Y35" s="3820"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20"/>
      <c r="Q36" s="1344" t="str">
        <f t="shared" si="11"/>
        <v>内部装修</v>
      </c>
      <c r="R36" s="700" t="s">
        <v>14</v>
      </c>
      <c r="S36" s="701">
        <f t="shared" si="12"/>
        <v>100</v>
      </c>
      <c r="T36" s="700" t="s">
        <v>14</v>
      </c>
      <c r="U36" s="701">
        <f t="shared" si="13"/>
        <v>101</v>
      </c>
      <c r="V36" s="700" t="s">
        <v>14</v>
      </c>
      <c r="W36" s="701">
        <f t="shared" si="14"/>
        <v>101</v>
      </c>
      <c r="X36" s="1347"/>
      <c r="Y36" s="3820"/>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20"/>
      <c r="Q37" s="1344" t="str">
        <f t="shared" si="11"/>
        <v>内部装修状况</v>
      </c>
      <c r="R37" s="700" t="s">
        <v>14</v>
      </c>
      <c r="S37" s="701">
        <f t="shared" si="12"/>
        <v>100</v>
      </c>
      <c r="T37" s="700" t="s">
        <v>14</v>
      </c>
      <c r="U37" s="701">
        <f t="shared" si="13"/>
        <v>100</v>
      </c>
      <c r="V37" s="700" t="s">
        <v>14</v>
      </c>
      <c r="W37" s="701">
        <f t="shared" si="14"/>
        <v>100</v>
      </c>
      <c r="X37" s="1347"/>
      <c r="Y37" s="3820"/>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20"/>
      <c r="Q38" s="702" t="str">
        <f t="shared" si="11"/>
        <v>含地下1层</v>
      </c>
      <c r="R38" s="703" t="s">
        <v>14</v>
      </c>
      <c r="S38" s="704">
        <f t="shared" si="12"/>
        <v>100</v>
      </c>
      <c r="T38" s="703" t="s">
        <v>14</v>
      </c>
      <c r="U38" s="704">
        <f t="shared" si="13"/>
        <v>100</v>
      </c>
      <c r="V38" s="703" t="s">
        <v>14</v>
      </c>
      <c r="W38" s="704">
        <f t="shared" si="14"/>
        <v>100</v>
      </c>
      <c r="X38" s="705"/>
      <c r="Y38" s="3820"/>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20"/>
      <c r="Q39" s="1344">
        <f t="shared" si="11"/>
        <v>111</v>
      </c>
      <c r="R39" s="700" t="s">
        <v>14</v>
      </c>
      <c r="S39" s="701">
        <f t="shared" si="12"/>
        <v>100</v>
      </c>
      <c r="T39" s="700" t="s">
        <v>14</v>
      </c>
      <c r="U39" s="701">
        <f t="shared" si="13"/>
        <v>100</v>
      </c>
      <c r="V39" s="700" t="s">
        <v>14</v>
      </c>
      <c r="W39" s="701">
        <f t="shared" si="14"/>
        <v>100</v>
      </c>
      <c r="X39" s="1347"/>
      <c r="Y39" s="3820"/>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21"/>
      <c r="Q40" s="1344">
        <f t="shared" si="11"/>
        <v>111</v>
      </c>
      <c r="R40" s="700" t="s">
        <v>14</v>
      </c>
      <c r="S40" s="701">
        <f t="shared" si="12"/>
        <v>100</v>
      </c>
      <c r="T40" s="700" t="s">
        <v>14</v>
      </c>
      <c r="U40" s="701">
        <f t="shared" si="13"/>
        <v>100</v>
      </c>
      <c r="V40" s="700" t="s">
        <v>14</v>
      </c>
      <c r="W40" s="701">
        <f t="shared" si="14"/>
        <v>100</v>
      </c>
      <c r="X40" s="1347"/>
      <c r="Y40" s="3821"/>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13" t="str">
        <f>A41</f>
        <v>成交单价（元/平方米）</v>
      </c>
      <c r="Q41" s="3813"/>
      <c r="R41" s="3814">
        <f>E41</f>
        <v>23300</v>
      </c>
      <c r="S41" s="3814"/>
      <c r="T41" s="3814">
        <f>G41</f>
        <v>23300</v>
      </c>
      <c r="U41" s="3814"/>
      <c r="V41" s="3814">
        <f>I41</f>
        <v>24000</v>
      </c>
      <c r="W41" s="3814"/>
      <c r="X41" s="685"/>
      <c r="Y41" s="707"/>
      <c r="Z41" s="685"/>
      <c r="AA41" s="685"/>
      <c r="AB41" s="685"/>
      <c r="AC41" s="685"/>
    </row>
    <row r="42" spans="1:29" ht="15.75" thickBot="1">
      <c r="A42" s="434" t="s">
        <v>1793</v>
      </c>
      <c r="B42" s="435"/>
      <c r="C42" s="1152" t="e">
        <f>R43</f>
        <v>#DIV/0!</v>
      </c>
      <c r="D42" s="2305" t="s">
        <v>2137</v>
      </c>
      <c r="E42" s="1153" t="e">
        <f>R42</f>
        <v>#DIV/0!</v>
      </c>
      <c r="F42" s="2306"/>
      <c r="G42" s="1152" t="e">
        <f>T42</f>
        <v>#DIV/0!</v>
      </c>
      <c r="H42" s="2306"/>
      <c r="I42" s="1153" t="e">
        <f>V42</f>
        <v>#DIV/0!</v>
      </c>
      <c r="J42" s="2306"/>
      <c r="K42" s="2308">
        <f>F42+H42+J42</f>
        <v>0</v>
      </c>
      <c r="L42" s="918"/>
      <c r="M42" s="919"/>
      <c r="N42" s="906"/>
      <c r="O42" s="919"/>
      <c r="P42" s="3813" t="str">
        <f>A42</f>
        <v>比较价值（元/平方米）</v>
      </c>
      <c r="Q42" s="3813"/>
      <c r="R42" s="3814" t="e">
        <f>IF(F1="售价",ROUND(PRODUCT(R41,AA7:AA40),0),ROUND(PRODUCT(R41,AA7:AA40),1))</f>
        <v>#DIV/0!</v>
      </c>
      <c r="S42" s="3814"/>
      <c r="T42" s="3814" t="e">
        <f>IF(F1="售价",ROUND(PRODUCT(T41,AB7:AB40),0),ROUND(PRODUCT(T41,AB7:AB40),1))</f>
        <v>#DIV/0!</v>
      </c>
      <c r="U42" s="3814"/>
      <c r="V42" s="3814" t="e">
        <f>IF(F1="售价",ROUND(PRODUCT(V41,AC7:AC40),0),ROUND(PRODUCT(V41,AC7:AC40),1))</f>
        <v>#DIV/0!</v>
      </c>
      <c r="W42" s="3814"/>
      <c r="X42" s="685"/>
      <c r="Y42" s="685"/>
      <c r="Z42" s="685"/>
      <c r="AA42" s="685"/>
      <c r="AB42" s="685"/>
      <c r="AC42" s="685"/>
    </row>
    <row r="43" spans="1:29" ht="15.75" thickBot="1">
      <c r="A43" s="438" t="s">
        <v>1794</v>
      </c>
      <c r="B43" s="439"/>
      <c r="C43" s="1155" t="e">
        <f>R43</f>
        <v>#DIV/0!</v>
      </c>
      <c r="D43" s="1155"/>
      <c r="E43" s="1155"/>
      <c r="F43" s="1155"/>
      <c r="G43" s="1155"/>
      <c r="H43" s="1155"/>
      <c r="I43" s="1155"/>
      <c r="J43" s="1155"/>
      <c r="K43" s="710"/>
      <c r="L43" s="918"/>
      <c r="M43" s="919"/>
      <c r="N43" s="919"/>
      <c r="O43" s="919"/>
      <c r="P43" s="3810" t="str">
        <f>A43</f>
        <v>估价对象XX用房的比较价值（楼面单价，元/平方米）</v>
      </c>
      <c r="Q43" s="3811"/>
      <c r="R43" s="3812" t="e">
        <f>IF(F1="售价",ROUND(IF(D42="简单平均",AVERAGE(R42:V42),R42*F42+T42*H42+V42*J42),0),ROUND(IF(D42="简单平均",AVERAGE(R42:V42),R42*F42+T42*H42+V42*J42),1))</f>
        <v>#DIV/0!</v>
      </c>
      <c r="S43" s="3812"/>
      <c r="T43" s="3812"/>
      <c r="U43" s="3812"/>
      <c r="V43" s="3812"/>
      <c r="W43" s="3812"/>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881"/>
      <c r="M46" s="919"/>
      <c r="N46" s="919"/>
      <c r="O46" s="919"/>
    </row>
    <row r="47" spans="1:29"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2024-1</v>
      </c>
      <c r="D52" s="1177">
        <f>EDATE(C52,-1)</f>
        <v>45261</v>
      </c>
      <c r="E52" s="1177">
        <f t="shared" ref="E52:O52" si="16">EDATE(D52,-1)</f>
        <v>45231</v>
      </c>
      <c r="F52" s="1177">
        <f t="shared" si="16"/>
        <v>45200</v>
      </c>
      <c r="G52" s="1177">
        <f t="shared" si="16"/>
        <v>45170</v>
      </c>
      <c r="H52" s="1177">
        <f t="shared" si="16"/>
        <v>45139</v>
      </c>
      <c r="I52" s="1177">
        <f t="shared" si="16"/>
        <v>45108</v>
      </c>
      <c r="J52" s="1177">
        <f t="shared" si="16"/>
        <v>45078</v>
      </c>
      <c r="K52" s="1177">
        <f t="shared" si="16"/>
        <v>45047</v>
      </c>
      <c r="L52" s="1177">
        <f t="shared" si="16"/>
        <v>45017</v>
      </c>
      <c r="M52" s="1177">
        <f t="shared" si="16"/>
        <v>44986</v>
      </c>
      <c r="N52" s="1177">
        <f t="shared" si="16"/>
        <v>44958</v>
      </c>
      <c r="O52" s="1177">
        <f t="shared" si="16"/>
        <v>44927</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4" priority="20" stopIfTrue="1" operator="containsText" text="超过">
      <formula>NOT(ISERROR(SEARCH("超过",F46)))</formula>
    </cfRule>
  </conditionalFormatting>
  <conditionalFormatting sqref="H48">
    <cfRule type="containsText" dxfId="163" priority="19" stopIfTrue="1" operator="containsText" text="超过">
      <formula>NOT(ISERROR(SEARCH("超过",H48)))</formula>
    </cfRule>
  </conditionalFormatting>
  <conditionalFormatting sqref="F48">
    <cfRule type="containsText" dxfId="162" priority="18" stopIfTrue="1" operator="containsText" text="超过">
      <formula>NOT(ISERROR(SEARCH("超过",F48)))</formula>
    </cfRule>
  </conditionalFormatting>
  <conditionalFormatting sqref="F47 H47">
    <cfRule type="containsText" dxfId="161" priority="17" stopIfTrue="1" operator="containsText" text="超过">
      <formula>NOT(ISERROR(SEARCH("超过",F47)))</formula>
    </cfRule>
  </conditionalFormatting>
  <conditionalFormatting sqref="E46">
    <cfRule type="expression" dxfId="160" priority="16" stopIfTrue="1">
      <formula>$F$46="超过30%"</formula>
    </cfRule>
  </conditionalFormatting>
  <conditionalFormatting sqref="E47">
    <cfRule type="expression" dxfId="159" priority="15" stopIfTrue="1">
      <formula>$F$47="超过20%"</formula>
    </cfRule>
  </conditionalFormatting>
  <conditionalFormatting sqref="E48">
    <cfRule type="expression" dxfId="158" priority="14" stopIfTrue="1">
      <formula>$F$48="超过30%"</formula>
    </cfRule>
  </conditionalFormatting>
  <conditionalFormatting sqref="G48">
    <cfRule type="expression" dxfId="157" priority="13" stopIfTrue="1">
      <formula>$H$48="超过30%"</formula>
    </cfRule>
  </conditionalFormatting>
  <conditionalFormatting sqref="G46">
    <cfRule type="expression" dxfId="156" priority="12" stopIfTrue="1">
      <formula>$H$46="超过30%"</formula>
    </cfRule>
  </conditionalFormatting>
  <conditionalFormatting sqref="G47">
    <cfRule type="expression" dxfId="155" priority="11" stopIfTrue="1">
      <formula>$H$47="超过20%"</formula>
    </cfRule>
  </conditionalFormatting>
  <conditionalFormatting sqref="J46">
    <cfRule type="containsText" dxfId="154" priority="10" stopIfTrue="1" operator="containsText" text="超过">
      <formula>NOT(ISERROR(SEARCH("超过",J46)))</formula>
    </cfRule>
  </conditionalFormatting>
  <conditionalFormatting sqref="J48">
    <cfRule type="containsText" dxfId="153" priority="9" stopIfTrue="1" operator="containsText" text="超过">
      <formula>NOT(ISERROR(SEARCH("超过",J48)))</formula>
    </cfRule>
  </conditionalFormatting>
  <conditionalFormatting sqref="J47">
    <cfRule type="containsText" dxfId="152" priority="8" stopIfTrue="1" operator="containsText" text="超过">
      <formula>NOT(ISERROR(SEARCH("超过",J47)))</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F42">
    <cfRule type="expression" dxfId="148" priority="4">
      <formula>$D$42="简单平均"</formula>
    </cfRule>
  </conditionalFormatting>
  <conditionalFormatting sqref="H42">
    <cfRule type="expression" dxfId="147" priority="3">
      <formula>$D$42="简单平均"</formula>
    </cfRule>
  </conditionalFormatting>
  <conditionalFormatting sqref="J42">
    <cfRule type="expression" dxfId="146" priority="2">
      <formula>$D$42="简单平均"</formula>
    </cfRule>
  </conditionalFormatting>
  <conditionalFormatting sqref="F7:F40 H7:H40 J7:J40">
    <cfRule type="cellIs" dxfId="1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67" t="s">
        <v>694</v>
      </c>
      <c r="C6" s="1066" t="e">
        <f ca="1">ROUND(F6*F8*F7*(1-F9)/10000,0)</f>
        <v>#N/A</v>
      </c>
      <c r="D6" s="155" t="s">
        <v>2108</v>
      </c>
      <c r="E6" s="302" t="s">
        <v>696</v>
      </c>
      <c r="F6" s="303" t="e">
        <f ca="1">INDIRECT("'数据-取费表'!u"&amp;$G$1)</f>
        <v>#N/A</v>
      </c>
      <c r="G6" s="1376"/>
      <c r="H6" s="1061" t="s">
        <v>398</v>
      </c>
      <c r="I6" s="3867" t="s">
        <v>694</v>
      </c>
      <c r="J6" s="301" t="e">
        <f ca="1">ROUND(M6*M8*M7*(1-M9)/10000,0)</f>
        <v>#N/A</v>
      </c>
      <c r="K6" s="155" t="s">
        <v>2107</v>
      </c>
      <c r="L6" s="302" t="s">
        <v>696</v>
      </c>
      <c r="M6" s="303" t="e">
        <f ca="1">INDIRECT("'数据-取费表'!z"&amp;$G$1)</f>
        <v>#N/A</v>
      </c>
    </row>
    <row r="7" spans="1:37" ht="18" customHeight="1">
      <c r="A7" s="1065"/>
      <c r="B7" s="3868"/>
      <c r="C7" s="1067"/>
      <c r="D7" s="307"/>
      <c r="E7" s="1068" t="s">
        <v>697</v>
      </c>
      <c r="F7" s="303" t="e">
        <f ca="1">IF(INDIRECT("'数据-取费表'!ah"&amp;$G$1)="",INDIRECT("'数据-取费表'!k"&amp;$G$1),INDIRECT("'数据-取费表'!ah"&amp;$G$1))</f>
        <v>#N/A</v>
      </c>
      <c r="G7" s="1376"/>
      <c r="H7" s="304"/>
      <c r="I7" s="3868"/>
      <c r="J7" s="306"/>
      <c r="K7" s="307"/>
      <c r="L7" s="302" t="s">
        <v>697</v>
      </c>
      <c r="M7" s="303" t="e">
        <f ca="1">F7</f>
        <v>#N/A</v>
      </c>
    </row>
    <row r="8" spans="1:37" ht="18" customHeight="1">
      <c r="A8" s="304"/>
      <c r="B8" s="3868"/>
      <c r="C8" s="306"/>
      <c r="D8" s="307"/>
      <c r="E8" s="302" t="s">
        <v>698</v>
      </c>
      <c r="F8" s="303" t="e">
        <f ca="1">INDIRECT("'数据-取费表'!ai"&amp;$G$1)</f>
        <v>#N/A</v>
      </c>
      <c r="G8" s="1376"/>
      <c r="H8" s="304"/>
      <c r="I8" s="3868"/>
      <c r="J8" s="306"/>
      <c r="K8" s="307"/>
      <c r="L8" s="302" t="s">
        <v>698</v>
      </c>
      <c r="M8" s="303" t="e">
        <f ca="1">INDIRECT("'数据-取费表'!ai"&amp;$G$1)</f>
        <v>#N/A</v>
      </c>
    </row>
    <row r="9" spans="1:37" ht="18" customHeight="1">
      <c r="A9" s="304"/>
      <c r="B9" s="3869"/>
      <c r="C9" s="306"/>
      <c r="D9" s="307"/>
      <c r="E9" s="302" t="s">
        <v>699</v>
      </c>
      <c r="F9" s="312" t="e">
        <f ca="1">INDIRECT("'数据-取费表'!w"&amp;$G$1)</f>
        <v>#N/A</v>
      </c>
      <c r="G9" s="1376"/>
      <c r="H9" s="304"/>
      <c r="I9" s="3869"/>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0.05</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49</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65" t="s">
        <v>837</v>
      </c>
      <c r="L53" s="3866"/>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76" t="s">
        <v>2316</v>
      </c>
      <c r="K2" s="3877"/>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78" t="s">
        <v>2326</v>
      </c>
      <c r="K3" s="3879"/>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78" t="s">
        <v>2328</v>
      </c>
      <c r="K4" s="3879"/>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84" t="s">
        <v>2332</v>
      </c>
      <c r="B6" s="3885"/>
      <c r="C6" s="3886"/>
      <c r="D6" s="2854"/>
      <c r="E6" s="2855"/>
      <c r="F6" s="2856"/>
      <c r="G6" s="2857"/>
      <c r="H6" s="2832"/>
      <c r="I6" s="2833"/>
      <c r="J6" s="3870">
        <v>1</v>
      </c>
      <c r="K6" s="3871"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70"/>
      <c r="K7" s="3872"/>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87" t="s">
        <v>2346</v>
      </c>
      <c r="C8" s="3888"/>
      <c r="D8" s="2873" t="s">
        <v>2347</v>
      </c>
      <c r="E8" s="2874" t="s">
        <v>2348</v>
      </c>
      <c r="F8" s="2875" t="s">
        <v>2349</v>
      </c>
      <c r="G8" s="2876"/>
      <c r="H8" s="2832"/>
      <c r="I8" s="2833"/>
      <c r="J8" s="3870"/>
      <c r="K8" s="3872"/>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87" t="s">
        <v>2352</v>
      </c>
      <c r="C9" s="3888"/>
      <c r="D9" s="2873">
        <f>ROUND(D6*E9,0)</f>
        <v>0</v>
      </c>
      <c r="E9" s="2877"/>
      <c r="F9" s="2878" t="s">
        <v>2353</v>
      </c>
      <c r="G9" s="2857"/>
      <c r="H9" s="2832"/>
      <c r="I9" s="2833"/>
      <c r="J9" s="3870"/>
      <c r="K9" s="3872"/>
      <c r="L9" s="2867" t="s">
        <v>2354</v>
      </c>
      <c r="M9" s="2868"/>
      <c r="N9" s="2844"/>
      <c r="O9" s="2869"/>
      <c r="P9" s="2869"/>
      <c r="Q9" s="2870">
        <v>365</v>
      </c>
      <c r="R9" s="2871">
        <f t="shared" si="0"/>
        <v>0</v>
      </c>
      <c r="S9" s="2825"/>
      <c r="T9" s="2825"/>
      <c r="U9" s="2825"/>
      <c r="V9" s="2833"/>
    </row>
    <row r="10" spans="1:22" s="2837" customFormat="1" ht="13.15" customHeight="1">
      <c r="A10" s="2872">
        <v>2</v>
      </c>
      <c r="B10" s="3887" t="s">
        <v>2355</v>
      </c>
      <c r="C10" s="3888"/>
      <c r="D10" s="2873">
        <f>ROUND(D6*E10,0)</f>
        <v>0</v>
      </c>
      <c r="E10" s="2877"/>
      <c r="F10" s="2878" t="s">
        <v>2356</v>
      </c>
      <c r="G10" s="2857"/>
      <c r="H10" s="2832"/>
      <c r="I10" s="2833"/>
      <c r="J10" s="3870"/>
      <c r="K10" s="3872"/>
      <c r="L10" s="2867" t="s">
        <v>2357</v>
      </c>
      <c r="M10" s="2868"/>
      <c r="N10" s="2844"/>
      <c r="O10" s="2869"/>
      <c r="P10" s="2869"/>
      <c r="Q10" s="2870">
        <v>365</v>
      </c>
      <c r="R10" s="2871">
        <f t="shared" si="0"/>
        <v>0</v>
      </c>
      <c r="S10" s="2825"/>
      <c r="T10" s="2825"/>
      <c r="U10" s="2825"/>
      <c r="V10" s="2833"/>
    </row>
    <row r="11" spans="1:22" s="2837" customFormat="1" ht="13.15" customHeight="1">
      <c r="A11" s="2872">
        <v>3</v>
      </c>
      <c r="B11" s="3887" t="s">
        <v>2358</v>
      </c>
      <c r="C11" s="3888"/>
      <c r="D11" s="2873">
        <f>D12+D14+D15+D16</f>
        <v>0</v>
      </c>
      <c r="E11" s="2879" t="e">
        <f>D11/D6</f>
        <v>#DIV/0!</v>
      </c>
      <c r="F11" s="2875"/>
      <c r="G11" s="2876"/>
      <c r="H11" s="2832"/>
      <c r="I11" s="2833"/>
      <c r="J11" s="3870"/>
      <c r="K11" s="3872"/>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80" t="s">
        <v>2361</v>
      </c>
      <c r="C12" s="3881"/>
      <c r="D12" s="2881">
        <f>ROUND(D13*1.2%*(1-30%),0)</f>
        <v>0</v>
      </c>
      <c r="E12" s="2882">
        <v>1.2E-2</v>
      </c>
      <c r="F12" s="2875" t="s">
        <v>2362</v>
      </c>
      <c r="G12" s="2876"/>
      <c r="H12" s="2832"/>
      <c r="I12" s="2833"/>
      <c r="J12" s="3870"/>
      <c r="K12" s="3872"/>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70"/>
      <c r="K13" s="3872"/>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80" t="s">
        <v>2367</v>
      </c>
      <c r="C14" s="3881"/>
      <c r="D14" s="2881">
        <f>ROUND(E14*B5/10000,0)</f>
        <v>0</v>
      </c>
      <c r="E14" s="2870"/>
      <c r="F14" s="2875" t="s">
        <v>2368</v>
      </c>
      <c r="G14" s="2876"/>
      <c r="H14" s="2832"/>
      <c r="I14" s="2833"/>
      <c r="J14" s="3870"/>
      <c r="K14" s="3873"/>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80" t="s">
        <v>2371</v>
      </c>
      <c r="C15" s="3881"/>
      <c r="D15" s="2881">
        <f>ROUND(D6*E15,0)</f>
        <v>0</v>
      </c>
      <c r="E15" s="2882">
        <v>5.5E-2</v>
      </c>
      <c r="F15" s="2875" t="s">
        <v>2372</v>
      </c>
      <c r="G15" s="2857"/>
      <c r="H15" s="2832"/>
      <c r="I15" s="2833"/>
      <c r="J15" s="3870">
        <v>2</v>
      </c>
      <c r="K15" s="3871"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80" t="s">
        <v>2380</v>
      </c>
      <c r="C16" s="3881"/>
      <c r="D16" s="2892">
        <f>D6*E16</f>
        <v>0</v>
      </c>
      <c r="E16" s="2893"/>
      <c r="F16" s="2878" t="s">
        <v>2381</v>
      </c>
      <c r="G16" s="2857"/>
      <c r="H16" s="2832"/>
      <c r="I16" s="2833"/>
      <c r="J16" s="3870"/>
      <c r="K16" s="3872"/>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82" t="s">
        <v>2383</v>
      </c>
      <c r="C17" s="3883"/>
      <c r="D17" s="2895">
        <f>ROUND(D6*E17,0)</f>
        <v>0</v>
      </c>
      <c r="E17" s="2896"/>
      <c r="F17" s="2897" t="s">
        <v>2384</v>
      </c>
      <c r="G17" s="2857"/>
      <c r="H17" s="2832"/>
      <c r="I17" s="2833"/>
      <c r="J17" s="3870"/>
      <c r="K17" s="3872"/>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70"/>
      <c r="K18" s="3872"/>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70"/>
      <c r="K19" s="3873"/>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70">
        <v>3</v>
      </c>
      <c r="K20" s="3871"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70"/>
      <c r="K21" s="3872"/>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70"/>
      <c r="K22" s="3872"/>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70"/>
      <c r="K23" s="3872"/>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70"/>
      <c r="K24" s="3873"/>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74">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75"/>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76" t="s">
        <v>2316</v>
      </c>
      <c r="K32" s="3877"/>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78" t="s">
        <v>2326</v>
      </c>
      <c r="K33" s="3879"/>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78" t="s">
        <v>2328</v>
      </c>
      <c r="K34" s="3879"/>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70">
        <v>1</v>
      </c>
      <c r="K36" s="3871"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70"/>
      <c r="K37" s="3872"/>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70"/>
      <c r="K38" s="3872"/>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70"/>
      <c r="K39" s="3872"/>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70"/>
      <c r="K40" s="3873"/>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74">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75"/>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t="e">
        <f ca="1">SUMIF(B6:B13,"&lt;&gt;#ref!",B6:B13)</f>
        <v>#DIV/0!</v>
      </c>
      <c r="C2" s="1863" t="s">
        <v>1651</v>
      </c>
      <c r="D2" s="1864" t="s">
        <v>1652</v>
      </c>
      <c r="E2" s="2592">
        <f>SUM(E6:E13)</f>
        <v>1365.98</v>
      </c>
      <c r="F2" s="2691"/>
      <c r="G2" s="1481"/>
      <c r="H2" s="1481"/>
      <c r="I2" s="1481"/>
      <c r="J2" s="1481"/>
      <c r="K2" s="1481"/>
      <c r="L2" s="1481"/>
      <c r="M2" s="1481"/>
      <c r="N2" s="1481"/>
      <c r="O2" s="1481"/>
      <c r="P2" s="1481"/>
      <c r="Q2" s="1481"/>
      <c r="R2" s="1481"/>
      <c r="S2" s="1481"/>
    </row>
    <row r="3" spans="1:22" ht="15.75">
      <c r="A3" s="1861" t="s">
        <v>686</v>
      </c>
      <c r="B3" s="2586" t="e">
        <f ca="1">ROUND(B2*10000/E2,0)</f>
        <v>#DIV/0!</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89" t="s">
        <v>1654</v>
      </c>
      <c r="C5" s="3890"/>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594.59569999999997</v>
      </c>
      <c r="C6" s="1863" t="s">
        <v>1651</v>
      </c>
      <c r="D6" s="2693"/>
      <c r="E6" s="2591">
        <f>IF(OR(A6=0,F6="否"),0,'数据-取费表'!K6+'数据-取费表'!S6)</f>
        <v>244.44</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1689.7769000000001</v>
      </c>
      <c r="C7" s="1863" t="s">
        <v>1651</v>
      </c>
      <c r="D7" s="2693"/>
      <c r="E7" s="2591">
        <f>IF(OR(A7=0,F7="否"),0,'数据-取费表'!K7+'数据-取费表'!S7)</f>
        <v>1121.54</v>
      </c>
      <c r="F7" s="1867" t="s">
        <v>1657</v>
      </c>
      <c r="G7" s="1481"/>
      <c r="H7" s="1481"/>
      <c r="I7" s="1481"/>
      <c r="J7" s="1481"/>
      <c r="K7" s="1481"/>
      <c r="L7" s="1481"/>
      <c r="M7" s="1481"/>
      <c r="N7" s="1481"/>
      <c r="O7" s="1481"/>
      <c r="P7" s="1481"/>
      <c r="Q7" s="1481"/>
      <c r="R7" s="1481"/>
      <c r="S7" s="1481"/>
    </row>
    <row r="8" spans="1:22">
      <c r="A8" s="2589" t="str">
        <f>'数据-取费表'!AN8</f>
        <v>收益法 (元)</v>
      </c>
      <c r="B8" s="2587" t="e">
        <f ca="1">IF(F8="是",'数据-取费表'!AO8,0)</f>
        <v>#DIV/0!</v>
      </c>
      <c r="C8" s="1863" t="s">
        <v>1651</v>
      </c>
      <c r="D8" s="2693"/>
      <c r="E8" s="2591">
        <f>IF(OR(A8=0,F8="否"),0,'数据-取费表'!K8+'数据-取费表'!S8)</f>
        <v>0</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C34" sqref="C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1386.8548000000001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56736</v>
      </c>
      <c r="C3" s="354" t="s">
        <v>1768</v>
      </c>
      <c r="D3" s="353">
        <f>IF(D1="",'数据-汇总表'!E3,SUMIF('数据-汇总表'!$C19:$C33,D1,'数据-汇总表'!$E19:$E33))</f>
        <v>244.44</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28" t="s">
        <v>1770</v>
      </c>
      <c r="D4" s="3829"/>
      <c r="E4" s="3830" t="s">
        <v>1771</v>
      </c>
      <c r="F4" s="3831"/>
      <c r="G4" s="3828" t="s">
        <v>1772</v>
      </c>
      <c r="H4" s="3829"/>
      <c r="I4" s="3828" t="s">
        <v>1773</v>
      </c>
      <c r="J4" s="3829"/>
      <c r="K4" s="556" t="s">
        <v>1774</v>
      </c>
      <c r="L4" s="2699"/>
      <c r="M4" s="2700"/>
      <c r="N4" s="2700"/>
      <c r="O4" s="2700"/>
      <c r="P4" s="3832" t="s">
        <v>1775</v>
      </c>
      <c r="Q4" s="3833"/>
      <c r="R4" s="3838" t="s">
        <v>1771</v>
      </c>
      <c r="S4" s="3839"/>
      <c r="T4" s="3838" t="s">
        <v>1772</v>
      </c>
      <c r="U4" s="3839"/>
      <c r="V4" s="3844" t="s">
        <v>1773</v>
      </c>
      <c r="W4" s="3844"/>
      <c r="X4" s="1347"/>
      <c r="Y4" s="3838" t="s">
        <v>1775</v>
      </c>
      <c r="Z4" s="3839"/>
      <c r="AA4" s="3825" t="s">
        <v>1771</v>
      </c>
      <c r="AB4" s="3844" t="s">
        <v>1772</v>
      </c>
      <c r="AC4" s="3825" t="s">
        <v>1773</v>
      </c>
    </row>
    <row r="5" spans="1:29" ht="15">
      <c r="A5" s="358"/>
      <c r="B5" s="359"/>
      <c r="C5" s="3852" t="s">
        <v>1673</v>
      </c>
      <c r="D5" s="3848"/>
      <c r="E5" s="3855" t="s">
        <v>4433</v>
      </c>
      <c r="F5" s="3856"/>
      <c r="G5" s="3847" t="s">
        <v>4431</v>
      </c>
      <c r="H5" s="3848"/>
      <c r="I5" s="3847" t="s">
        <v>4432</v>
      </c>
      <c r="J5" s="3848"/>
      <c r="K5" s="556"/>
      <c r="L5" s="2699"/>
      <c r="M5" s="2700"/>
      <c r="N5" s="2700"/>
      <c r="O5" s="2700"/>
      <c r="P5" s="3834"/>
      <c r="Q5" s="3835"/>
      <c r="R5" s="3840"/>
      <c r="S5" s="3841"/>
      <c r="T5" s="3840"/>
      <c r="U5" s="3841"/>
      <c r="V5" s="3844"/>
      <c r="W5" s="3844"/>
      <c r="X5" s="1347"/>
      <c r="Y5" s="3840"/>
      <c r="Z5" s="3841"/>
      <c r="AA5" s="3826"/>
      <c r="AB5" s="3844"/>
      <c r="AC5" s="3826"/>
    </row>
    <row r="6" spans="1:29" ht="15.75" thickBot="1">
      <c r="A6" s="360"/>
      <c r="B6" s="361"/>
      <c r="C6" s="3845" t="s">
        <v>1677</v>
      </c>
      <c r="D6" s="3846"/>
      <c r="E6" s="3853" t="s">
        <v>1677</v>
      </c>
      <c r="F6" s="3854"/>
      <c r="G6" s="3845" t="s">
        <v>1677</v>
      </c>
      <c r="H6" s="3846"/>
      <c r="I6" s="3845" t="s">
        <v>1677</v>
      </c>
      <c r="J6" s="3846"/>
      <c r="K6" s="556" t="s">
        <v>1678</v>
      </c>
      <c r="L6" s="2699"/>
      <c r="M6" s="2700"/>
      <c r="N6" s="2700"/>
      <c r="O6" s="2700"/>
      <c r="P6" s="3836"/>
      <c r="Q6" s="3837"/>
      <c r="R6" s="3840"/>
      <c r="S6" s="3841"/>
      <c r="T6" s="3842"/>
      <c r="U6" s="3843"/>
      <c r="V6" s="3844"/>
      <c r="W6" s="3844"/>
      <c r="X6" s="1347"/>
      <c r="Y6" s="3842"/>
      <c r="Z6" s="3843"/>
      <c r="AA6" s="3827"/>
      <c r="AB6" s="3844"/>
      <c r="AC6" s="3827"/>
    </row>
    <row r="7" spans="1:29" s="108" customFormat="1" ht="15.75" thickBot="1">
      <c r="A7" s="362" t="s">
        <v>1679</v>
      </c>
      <c r="B7" s="363"/>
      <c r="C7" s="364">
        <f>'数据-取费表'!B2</f>
        <v>45320</v>
      </c>
      <c r="D7" s="365">
        <v>100</v>
      </c>
      <c r="E7" s="366">
        <v>45292</v>
      </c>
      <c r="F7" s="367">
        <f>SUMIF(58:58,YEAR(E7)&amp;"-"&amp;MONTH(E7),59:59)</f>
        <v>100</v>
      </c>
      <c r="G7" s="366">
        <v>45292</v>
      </c>
      <c r="H7" s="365">
        <f>SUMIF(58:58,YEAR(G7)&amp;"-"&amp;MONTH(G7),59:59)</f>
        <v>100</v>
      </c>
      <c r="I7" s="366">
        <v>45292</v>
      </c>
      <c r="J7" s="365">
        <f>SUMIF(58:58,YEAR(I7)&amp;"-"&amp;MONTH(I7),59:59)</f>
        <v>100</v>
      </c>
      <c r="K7" s="557"/>
      <c r="L7" s="2701"/>
      <c r="M7" s="2702"/>
      <c r="N7" s="2702"/>
      <c r="O7" s="2702"/>
      <c r="P7" s="3849" t="s">
        <v>1680</v>
      </c>
      <c r="Q7" s="3851"/>
      <c r="R7" s="696" t="s">
        <v>14</v>
      </c>
      <c r="S7" s="697">
        <f t="shared" ref="S7:S15" si="0">F7</f>
        <v>100</v>
      </c>
      <c r="T7" s="696" t="s">
        <v>14</v>
      </c>
      <c r="U7" s="697">
        <f t="shared" ref="U7:U15" si="1">H7</f>
        <v>100</v>
      </c>
      <c r="V7" s="696" t="s">
        <v>14</v>
      </c>
      <c r="W7" s="697">
        <f t="shared" ref="W7:W15" si="2">J7</f>
        <v>100</v>
      </c>
      <c r="X7" s="698"/>
      <c r="Y7" s="3849" t="s">
        <v>1680</v>
      </c>
      <c r="Z7" s="3850"/>
      <c r="AA7" s="699">
        <f>D7/F7</f>
        <v>1</v>
      </c>
      <c r="AB7" s="699">
        <f>D7/H7</f>
        <v>1</v>
      </c>
      <c r="AC7" s="699">
        <f>D7/J7</f>
        <v>1</v>
      </c>
    </row>
    <row r="8" spans="1:29" s="108" customFormat="1" ht="15.75" thickBot="1">
      <c r="A8" s="362" t="s">
        <v>1681</v>
      </c>
      <c r="B8" s="363"/>
      <c r="C8" s="368" t="s">
        <v>3401</v>
      </c>
      <c r="D8" s="365">
        <v>100</v>
      </c>
      <c r="E8" s="368" t="s">
        <v>4199</v>
      </c>
      <c r="F8" s="367">
        <f>SUMIF(61:61,E8,62:62)-SUMIF(61:61,C8,62:62)+100</f>
        <v>102</v>
      </c>
      <c r="G8" s="368" t="s">
        <v>4199</v>
      </c>
      <c r="H8" s="365">
        <f>SUMIF(61:61,G8,62:62)-SUMIF(61:61,C8,62:62)+100</f>
        <v>102</v>
      </c>
      <c r="I8" s="368" t="s">
        <v>4199</v>
      </c>
      <c r="J8" s="365">
        <f>SUMIF(61:61,I8,62:62)-SUMIF(61:61,C8,62:62)+100</f>
        <v>102</v>
      </c>
      <c r="K8" s="557"/>
      <c r="L8" s="2701"/>
      <c r="M8" s="2702"/>
      <c r="N8" s="2702"/>
      <c r="O8" s="2702"/>
      <c r="P8" s="3849" t="s">
        <v>1683</v>
      </c>
      <c r="Q8" s="3850"/>
      <c r="R8" s="696" t="s">
        <v>14</v>
      </c>
      <c r="S8" s="697">
        <f t="shared" si="0"/>
        <v>102</v>
      </c>
      <c r="T8" s="696" t="s">
        <v>14</v>
      </c>
      <c r="U8" s="697">
        <f t="shared" si="1"/>
        <v>102</v>
      </c>
      <c r="V8" s="696" t="s">
        <v>14</v>
      </c>
      <c r="W8" s="697">
        <f t="shared" si="2"/>
        <v>102</v>
      </c>
      <c r="X8" s="698"/>
      <c r="Y8" s="3849" t="s">
        <v>1683</v>
      </c>
      <c r="Z8" s="3850"/>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4223</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24" t="s">
        <v>1686</v>
      </c>
      <c r="Q9" s="1335" t="str">
        <f t="shared" ref="Q9:Q15" si="6">B9</f>
        <v>用途</v>
      </c>
      <c r="R9" s="696" t="s">
        <v>14</v>
      </c>
      <c r="S9" s="697">
        <f t="shared" si="0"/>
        <v>100</v>
      </c>
      <c r="T9" s="696" t="s">
        <v>14</v>
      </c>
      <c r="U9" s="697">
        <f t="shared" si="1"/>
        <v>100</v>
      </c>
      <c r="V9" s="696" t="s">
        <v>14</v>
      </c>
      <c r="W9" s="697">
        <f t="shared" si="2"/>
        <v>100</v>
      </c>
      <c r="X9" s="698"/>
      <c r="Y9" s="3717"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24"/>
      <c r="Q10" s="1335" t="str">
        <f t="shared" si="6"/>
        <v>土地使用年限（年）</v>
      </c>
      <c r="R10" s="696" t="s">
        <v>14</v>
      </c>
      <c r="S10" s="697">
        <f t="shared" si="0"/>
        <v>100</v>
      </c>
      <c r="T10" s="696" t="s">
        <v>14</v>
      </c>
      <c r="U10" s="697">
        <f t="shared" si="1"/>
        <v>100</v>
      </c>
      <c r="V10" s="696" t="s">
        <v>14</v>
      </c>
      <c r="W10" s="697">
        <f t="shared" si="2"/>
        <v>100</v>
      </c>
      <c r="X10" s="698"/>
      <c r="Y10" s="3717"/>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24"/>
      <c r="Q11" s="1335" t="str">
        <f t="shared" si="6"/>
        <v>容积率</v>
      </c>
      <c r="R11" s="696" t="s">
        <v>14</v>
      </c>
      <c r="S11" s="697">
        <f t="shared" si="0"/>
        <v>100</v>
      </c>
      <c r="T11" s="696" t="s">
        <v>14</v>
      </c>
      <c r="U11" s="697">
        <f t="shared" si="1"/>
        <v>100</v>
      </c>
      <c r="V11" s="696" t="s">
        <v>14</v>
      </c>
      <c r="W11" s="697">
        <f t="shared" si="2"/>
        <v>100</v>
      </c>
      <c r="X11" s="698"/>
      <c r="Y11" s="3717"/>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24"/>
      <c r="Q12" s="1335">
        <f t="shared" si="6"/>
        <v>111</v>
      </c>
      <c r="R12" s="696" t="s">
        <v>14</v>
      </c>
      <c r="S12" s="697">
        <f t="shared" si="0"/>
        <v>100</v>
      </c>
      <c r="T12" s="696" t="s">
        <v>14</v>
      </c>
      <c r="U12" s="697">
        <f t="shared" si="1"/>
        <v>100</v>
      </c>
      <c r="V12" s="696" t="s">
        <v>14</v>
      </c>
      <c r="W12" s="697">
        <f t="shared" si="2"/>
        <v>100</v>
      </c>
      <c r="X12" s="698"/>
      <c r="Y12" s="3717"/>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24"/>
      <c r="Q13" s="1335">
        <f t="shared" si="6"/>
        <v>111</v>
      </c>
      <c r="R13" s="696" t="s">
        <v>14</v>
      </c>
      <c r="S13" s="697">
        <f t="shared" si="0"/>
        <v>100</v>
      </c>
      <c r="T13" s="696" t="s">
        <v>14</v>
      </c>
      <c r="U13" s="697">
        <f t="shared" si="1"/>
        <v>100</v>
      </c>
      <c r="V13" s="696" t="s">
        <v>14</v>
      </c>
      <c r="W13" s="697">
        <f t="shared" si="2"/>
        <v>100</v>
      </c>
      <c r="X13" s="698"/>
      <c r="Y13" s="3717"/>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24"/>
      <c r="Q14" s="1335">
        <f t="shared" si="6"/>
        <v>111</v>
      </c>
      <c r="R14" s="696" t="s">
        <v>14</v>
      </c>
      <c r="S14" s="697">
        <f t="shared" si="0"/>
        <v>100</v>
      </c>
      <c r="T14" s="696" t="s">
        <v>14</v>
      </c>
      <c r="U14" s="697">
        <f t="shared" si="1"/>
        <v>100</v>
      </c>
      <c r="V14" s="696" t="s">
        <v>14</v>
      </c>
      <c r="W14" s="697">
        <f t="shared" si="2"/>
        <v>100</v>
      </c>
      <c r="X14" s="698"/>
      <c r="Y14" s="3717"/>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22" t="s">
        <v>1691</v>
      </c>
      <c r="Q15" s="1344" t="str">
        <f t="shared" si="6"/>
        <v>商业繁华度</v>
      </c>
      <c r="R15" s="700" t="s">
        <v>14</v>
      </c>
      <c r="S15" s="701">
        <f t="shared" si="0"/>
        <v>100</v>
      </c>
      <c r="T15" s="700" t="s">
        <v>14</v>
      </c>
      <c r="U15" s="701">
        <f t="shared" si="1"/>
        <v>100</v>
      </c>
      <c r="V15" s="700" t="s">
        <v>14</v>
      </c>
      <c r="W15" s="701">
        <f t="shared" si="2"/>
        <v>100</v>
      </c>
      <c r="X15" s="1347"/>
      <c r="Y15" s="3815"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23"/>
      <c r="Q16" s="1344"/>
      <c r="R16" s="700"/>
      <c r="S16" s="701"/>
      <c r="T16" s="700"/>
      <c r="U16" s="701"/>
      <c r="V16" s="700"/>
      <c r="W16" s="701"/>
      <c r="X16" s="1347"/>
      <c r="Y16" s="3816"/>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23"/>
      <c r="Q17" s="1344" t="str">
        <f>B17</f>
        <v>交通便捷度</v>
      </c>
      <c r="R17" s="700" t="s">
        <v>14</v>
      </c>
      <c r="S17" s="701">
        <f>F17</f>
        <v>100</v>
      </c>
      <c r="T17" s="700" t="s">
        <v>14</v>
      </c>
      <c r="U17" s="701">
        <f>H17</f>
        <v>100</v>
      </c>
      <c r="V17" s="700" t="s">
        <v>14</v>
      </c>
      <c r="W17" s="701">
        <f>J17</f>
        <v>100</v>
      </c>
      <c r="X17" s="1347"/>
      <c r="Y17" s="3816"/>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23"/>
      <c r="Q18" s="1344"/>
      <c r="R18" s="700"/>
      <c r="S18" s="701"/>
      <c r="T18" s="700"/>
      <c r="U18" s="701"/>
      <c r="V18" s="700"/>
      <c r="W18" s="701"/>
      <c r="X18" s="1347"/>
      <c r="Y18" s="3816"/>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23"/>
      <c r="Q19" s="1344" t="str">
        <f>B19</f>
        <v>公共配套设施</v>
      </c>
      <c r="R19" s="700" t="s">
        <v>14</v>
      </c>
      <c r="S19" s="701">
        <f>F19</f>
        <v>100</v>
      </c>
      <c r="T19" s="700" t="s">
        <v>14</v>
      </c>
      <c r="U19" s="701">
        <f>H19</f>
        <v>100</v>
      </c>
      <c r="V19" s="700" t="s">
        <v>14</v>
      </c>
      <c r="W19" s="701">
        <f>J19</f>
        <v>100</v>
      </c>
      <c r="X19" s="1347"/>
      <c r="Y19" s="3816"/>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23"/>
      <c r="Q20" s="1344"/>
      <c r="R20" s="700"/>
      <c r="S20" s="701"/>
      <c r="T20" s="700"/>
      <c r="U20" s="701"/>
      <c r="V20" s="700"/>
      <c r="W20" s="701"/>
      <c r="X20" s="1347"/>
      <c r="Y20" s="3816"/>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23"/>
      <c r="Q21" s="1344" t="str">
        <f>B21</f>
        <v>基础设施水平</v>
      </c>
      <c r="R21" s="700" t="s">
        <v>14</v>
      </c>
      <c r="S21" s="701">
        <f>F21</f>
        <v>100</v>
      </c>
      <c r="T21" s="700" t="s">
        <v>14</v>
      </c>
      <c r="U21" s="701">
        <f>H21</f>
        <v>100</v>
      </c>
      <c r="V21" s="700" t="s">
        <v>14</v>
      </c>
      <c r="W21" s="701">
        <f>J21</f>
        <v>100</v>
      </c>
      <c r="X21" s="1347"/>
      <c r="Y21" s="3816"/>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23"/>
      <c r="Q22" s="1344"/>
      <c r="R22" s="700"/>
      <c r="S22" s="701"/>
      <c r="T22" s="700"/>
      <c r="U22" s="701"/>
      <c r="V22" s="700"/>
      <c r="W22" s="701"/>
      <c r="X22" s="1347"/>
      <c r="Y22" s="3816"/>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97</v>
      </c>
      <c r="G23" s="404"/>
      <c r="H23" s="400">
        <f>SUMIF(84:84,G24,85:85)-SUMIF(84:84,C24,85:85)+100</f>
        <v>97</v>
      </c>
      <c r="I23" s="402"/>
      <c r="J23" s="400">
        <f>SUMIF(84:84,I24,85:85)-SUMIF(84:84,C24,85:85)+100</f>
        <v>97</v>
      </c>
      <c r="K23" s="560">
        <v>3</v>
      </c>
      <c r="L23" s="2706"/>
      <c r="M23" s="2700"/>
      <c r="N23" s="2700"/>
      <c r="O23" s="2700"/>
      <c r="P23" s="3823"/>
      <c r="Q23" s="1344" t="str">
        <f>B23</f>
        <v>自然及人文环境</v>
      </c>
      <c r="R23" s="700" t="s">
        <v>14</v>
      </c>
      <c r="S23" s="701">
        <f>F23</f>
        <v>97</v>
      </c>
      <c r="T23" s="700" t="s">
        <v>14</v>
      </c>
      <c r="U23" s="701">
        <f>H23</f>
        <v>97</v>
      </c>
      <c r="V23" s="700" t="s">
        <v>14</v>
      </c>
      <c r="W23" s="701">
        <f>J23</f>
        <v>97</v>
      </c>
      <c r="X23" s="1347"/>
      <c r="Y23" s="3816"/>
      <c r="Z23" s="1348" t="str">
        <f>Q23</f>
        <v>自然及人文环境</v>
      </c>
      <c r="AA23" s="1345">
        <f t="shared" si="3"/>
        <v>1.0309278350515463</v>
      </c>
      <c r="AB23" s="1345">
        <f t="shared" si="4"/>
        <v>1.0309278350515463</v>
      </c>
      <c r="AC23" s="1345">
        <f t="shared" si="5"/>
        <v>1.0309278350515463</v>
      </c>
    </row>
    <row r="24" spans="1:29" ht="15">
      <c r="A24" s="378"/>
      <c r="B24" s="406"/>
      <c r="C24" s="397" t="s">
        <v>3403</v>
      </c>
      <c r="D24" s="398"/>
      <c r="E24" s="1888" t="s">
        <v>3419</v>
      </c>
      <c r="F24" s="399"/>
      <c r="G24" s="1888" t="s">
        <v>3419</v>
      </c>
      <c r="H24" s="398"/>
      <c r="I24" s="397" t="s">
        <v>3419</v>
      </c>
      <c r="J24" s="398"/>
      <c r="K24" s="561"/>
      <c r="L24" s="2706"/>
      <c r="M24" s="2700"/>
      <c r="N24" s="2700"/>
      <c r="O24" s="2700"/>
      <c r="P24" s="3823"/>
      <c r="Q24" s="1344"/>
      <c r="R24" s="700"/>
      <c r="S24" s="701"/>
      <c r="T24" s="700"/>
      <c r="U24" s="701"/>
      <c r="V24" s="700"/>
      <c r="W24" s="701"/>
      <c r="X24" s="1347"/>
      <c r="Y24" s="3816"/>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23"/>
      <c r="Q25" s="1344" t="str">
        <f t="shared" ref="Q25:Q46" si="11">B25</f>
        <v>临街状况</v>
      </c>
      <c r="R25" s="700" t="s">
        <v>14</v>
      </c>
      <c r="S25" s="701">
        <f>F25</f>
        <v>100</v>
      </c>
      <c r="T25" s="700" t="s">
        <v>14</v>
      </c>
      <c r="U25" s="701">
        <f>H25</f>
        <v>100</v>
      </c>
      <c r="V25" s="700" t="s">
        <v>14</v>
      </c>
      <c r="W25" s="701">
        <f>J25</f>
        <v>100</v>
      </c>
      <c r="X25" s="1347"/>
      <c r="Y25" s="3816"/>
      <c r="Z25" s="1348" t="str">
        <f>Q25</f>
        <v>临街状况</v>
      </c>
      <c r="AA25" s="1345">
        <f t="shared" si="3"/>
        <v>1</v>
      </c>
      <c r="AB25" s="1345">
        <f t="shared" si="4"/>
        <v>1</v>
      </c>
      <c r="AC25" s="1345">
        <f t="shared" si="5"/>
        <v>1</v>
      </c>
    </row>
    <row r="26" spans="1:29" ht="15">
      <c r="A26" s="378"/>
      <c r="B26" s="1125" t="s">
        <v>1781</v>
      </c>
      <c r="C26" s="3544" t="s">
        <v>4238</v>
      </c>
      <c r="D26" s="385">
        <v>100</v>
      </c>
      <c r="E26" s="3544" t="s">
        <v>4238</v>
      </c>
      <c r="F26" s="411">
        <f>SUMIF(88:88,E26,89:89)-SUMIF(88:88,C26,89:89)+100</f>
        <v>100</v>
      </c>
      <c r="G26" s="3544" t="s">
        <v>4238</v>
      </c>
      <c r="H26" s="385">
        <f>SUMIF(88:88,G26,89:89)-SUMIF(88:88,C26,89:89)+100</f>
        <v>100</v>
      </c>
      <c r="I26" s="3544" t="s">
        <v>4238</v>
      </c>
      <c r="J26" s="385">
        <f>SUMIF(88:88,I26,89:89)-SUMIF(88:88,C26,89:89)+100</f>
        <v>100</v>
      </c>
      <c r="K26" s="559"/>
      <c r="L26" s="2706"/>
      <c r="M26" s="2700"/>
      <c r="N26" s="2700"/>
      <c r="O26" s="2700"/>
      <c r="P26" s="3823"/>
      <c r="Q26" s="1344" t="str">
        <f t="shared" si="11"/>
        <v>平面位置/可视性</v>
      </c>
      <c r="R26" s="700" t="s">
        <v>14</v>
      </c>
      <c r="S26" s="701">
        <f>F26</f>
        <v>100</v>
      </c>
      <c r="T26" s="700" t="s">
        <v>14</v>
      </c>
      <c r="U26" s="701">
        <f>H26</f>
        <v>100</v>
      </c>
      <c r="V26" s="700" t="s">
        <v>14</v>
      </c>
      <c r="W26" s="701">
        <f>J26</f>
        <v>100</v>
      </c>
      <c r="X26" s="1347"/>
      <c r="Y26" s="3816"/>
      <c r="Z26" s="1348" t="str">
        <f>Q26</f>
        <v>平面位置/可视性</v>
      </c>
      <c r="AA26" s="1345">
        <f t="shared" si="3"/>
        <v>1</v>
      </c>
      <c r="AB26" s="1345">
        <f t="shared" si="4"/>
        <v>1</v>
      </c>
      <c r="AC26" s="1345">
        <f t="shared" si="5"/>
        <v>1</v>
      </c>
    </row>
    <row r="27" spans="1:29" s="108" customFormat="1" ht="15">
      <c r="A27" s="381"/>
      <c r="B27" s="401" t="s">
        <v>1782</v>
      </c>
      <c r="C27" s="1944" t="s">
        <v>3419</v>
      </c>
      <c r="D27" s="412">
        <v>100</v>
      </c>
      <c r="E27" s="1944" t="s">
        <v>3419</v>
      </c>
      <c r="F27" s="414">
        <f>SUMIF(90:90,E27,91:91)-SUMIF(90:90,C27,91:91)+100</f>
        <v>100</v>
      </c>
      <c r="G27" s="1944" t="s">
        <v>3419</v>
      </c>
      <c r="H27" s="412">
        <f>SUMIF(90:90,G27,91:91)-SUMIF(90:90,C27,91:91)+100</f>
        <v>100</v>
      </c>
      <c r="I27" s="1944" t="s">
        <v>4239</v>
      </c>
      <c r="J27" s="412">
        <f>SUMIF(90:90,I27,91:91)-SUMIF(90:90,C27,91:91)+100</f>
        <v>97</v>
      </c>
      <c r="K27" s="558">
        <v>3</v>
      </c>
      <c r="L27" s="2701"/>
      <c r="M27" s="2702"/>
      <c r="N27" s="2702"/>
      <c r="O27" s="2702"/>
      <c r="P27" s="3823"/>
      <c r="Q27" s="1335" t="str">
        <f t="shared" si="11"/>
        <v>人流量</v>
      </c>
      <c r="R27" s="696" t="s">
        <v>14</v>
      </c>
      <c r="S27" s="697">
        <f>F27</f>
        <v>100</v>
      </c>
      <c r="T27" s="696" t="s">
        <v>14</v>
      </c>
      <c r="U27" s="697">
        <f>H27</f>
        <v>100</v>
      </c>
      <c r="V27" s="696" t="s">
        <v>14</v>
      </c>
      <c r="W27" s="697">
        <f>J27</f>
        <v>97</v>
      </c>
      <c r="X27" s="698"/>
      <c r="Y27" s="3816"/>
      <c r="Z27" s="52" t="str">
        <f>Q27</f>
        <v>人流量</v>
      </c>
      <c r="AA27" s="1345">
        <f>D27/F27</f>
        <v>1</v>
      </c>
      <c r="AB27" s="1345">
        <f>D27/H27</f>
        <v>1</v>
      </c>
      <c r="AC27" s="1345">
        <f>D27/J27</f>
        <v>1.0309278350515463</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23"/>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16"/>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23"/>
      <c r="Q29" s="1344">
        <f t="shared" si="11"/>
        <v>111</v>
      </c>
      <c r="R29" s="700" t="s">
        <v>14</v>
      </c>
      <c r="S29" s="701">
        <f t="shared" si="12"/>
        <v>100</v>
      </c>
      <c r="T29" s="700" t="s">
        <v>14</v>
      </c>
      <c r="U29" s="701">
        <f t="shared" si="13"/>
        <v>100</v>
      </c>
      <c r="V29" s="700" t="s">
        <v>14</v>
      </c>
      <c r="W29" s="701">
        <f t="shared" si="14"/>
        <v>100</v>
      </c>
      <c r="X29" s="1347"/>
      <c r="Y29" s="3816"/>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23"/>
      <c r="Q30" s="1344">
        <f t="shared" si="11"/>
        <v>111</v>
      </c>
      <c r="R30" s="700" t="s">
        <v>14</v>
      </c>
      <c r="S30" s="701">
        <f t="shared" si="12"/>
        <v>100</v>
      </c>
      <c r="T30" s="700" t="s">
        <v>14</v>
      </c>
      <c r="U30" s="701">
        <f t="shared" si="13"/>
        <v>100</v>
      </c>
      <c r="V30" s="700" t="s">
        <v>14</v>
      </c>
      <c r="W30" s="701">
        <f t="shared" si="14"/>
        <v>100</v>
      </c>
      <c r="X30" s="1347"/>
      <c r="Y30" s="3816"/>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23"/>
      <c r="Q31" s="1344">
        <f t="shared" si="11"/>
        <v>111</v>
      </c>
      <c r="R31" s="700" t="s">
        <v>14</v>
      </c>
      <c r="S31" s="701">
        <f t="shared" si="12"/>
        <v>100</v>
      </c>
      <c r="T31" s="700" t="s">
        <v>14</v>
      </c>
      <c r="U31" s="701">
        <f t="shared" si="13"/>
        <v>100</v>
      </c>
      <c r="V31" s="700" t="s">
        <v>14</v>
      </c>
      <c r="W31" s="701">
        <f t="shared" si="14"/>
        <v>100</v>
      </c>
      <c r="X31" s="1347"/>
      <c r="Y31" s="3816"/>
      <c r="Z31" s="1348">
        <f t="shared" si="15"/>
        <v>111</v>
      </c>
      <c r="AA31" s="1345">
        <f t="shared" si="3"/>
        <v>1</v>
      </c>
      <c r="AB31" s="1345">
        <f t="shared" si="4"/>
        <v>1</v>
      </c>
      <c r="AC31" s="1345">
        <f t="shared" si="5"/>
        <v>1</v>
      </c>
    </row>
    <row r="32" spans="1:29" ht="15">
      <c r="A32" s="390" t="s">
        <v>1694</v>
      </c>
      <c r="B32" s="63" t="s">
        <v>1784</v>
      </c>
      <c r="C32" s="1900" t="s">
        <v>4240</v>
      </c>
      <c r="D32" s="417">
        <v>100</v>
      </c>
      <c r="E32" s="1900" t="s">
        <v>4236</v>
      </c>
      <c r="F32" s="411">
        <f>SUMIF(100:100,E32,101:101)-SUMIF(100:100,C32,101:101)+100</f>
        <v>97</v>
      </c>
      <c r="G32" s="1900" t="s">
        <v>4240</v>
      </c>
      <c r="H32" s="385">
        <f>SUMIF(100:100,G32,101:101)-SUMIF(100:100,C32,101:101)+100</f>
        <v>100</v>
      </c>
      <c r="I32" s="1900" t="s">
        <v>4236</v>
      </c>
      <c r="J32" s="417">
        <f>SUMIF(100:100,I32,101:101)-SUMIF(100:100,C32,101:101)+100</f>
        <v>97</v>
      </c>
      <c r="K32" s="558">
        <v>3</v>
      </c>
      <c r="L32" s="2706"/>
      <c r="M32" s="2700"/>
      <c r="N32" s="2700"/>
      <c r="O32" s="2700"/>
      <c r="P32" s="3817" t="s">
        <v>1696</v>
      </c>
      <c r="Q32" s="1344" t="str">
        <f t="shared" si="11"/>
        <v>商业类型</v>
      </c>
      <c r="R32" s="700" t="s">
        <v>14</v>
      </c>
      <c r="S32" s="701">
        <f t="shared" si="12"/>
        <v>97</v>
      </c>
      <c r="T32" s="700" t="s">
        <v>14</v>
      </c>
      <c r="U32" s="701">
        <f t="shared" si="13"/>
        <v>100</v>
      </c>
      <c r="V32" s="700" t="s">
        <v>14</v>
      </c>
      <c r="W32" s="701">
        <f t="shared" si="14"/>
        <v>97</v>
      </c>
      <c r="X32" s="1347"/>
      <c r="Y32" s="3820" t="s">
        <v>1696</v>
      </c>
      <c r="Z32" s="1348" t="str">
        <f t="shared" si="15"/>
        <v>商业类型</v>
      </c>
      <c r="AA32" s="1345">
        <f t="shared" si="3"/>
        <v>1.0309278350515463</v>
      </c>
      <c r="AB32" s="1345">
        <f t="shared" si="4"/>
        <v>1</v>
      </c>
      <c r="AC32" s="1345">
        <f t="shared" si="5"/>
        <v>1.0309278350515463</v>
      </c>
    </row>
    <row r="33" spans="1:29" s="421" customFormat="1" ht="15">
      <c r="A33" s="418"/>
      <c r="B33" s="374" t="s">
        <v>1697</v>
      </c>
      <c r="C33" s="419">
        <f>'商办车库-新'!F219</f>
        <v>244.44</v>
      </c>
      <c r="D33" s="127">
        <v>100</v>
      </c>
      <c r="E33" s="419">
        <v>161.58000000000001</v>
      </c>
      <c r="F33" s="375">
        <f>LOOKUP(E33,103:103,104:104)-LOOKUP(C33,103:103,104:104)+100</f>
        <v>101</v>
      </c>
      <c r="G33" s="419">
        <v>166</v>
      </c>
      <c r="H33" s="127">
        <f>LOOKUP(G33,103:103,104:104)-LOOKUP(C33,103:103,104:104)+100</f>
        <v>101</v>
      </c>
      <c r="I33" s="419">
        <v>162</v>
      </c>
      <c r="J33" s="127">
        <f>LOOKUP(I33,103:103,104:104)-LOOKUP(C33,103:103,104:104)+100</f>
        <v>101</v>
      </c>
      <c r="K33" s="559"/>
      <c r="L33" s="2705"/>
      <c r="M33" s="2707"/>
      <c r="N33" s="2707"/>
      <c r="O33" s="2707"/>
      <c r="P33" s="3818"/>
      <c r="Q33" s="702" t="str">
        <f t="shared" si="11"/>
        <v>项目建筑规模</v>
      </c>
      <c r="R33" s="703" t="s">
        <v>14</v>
      </c>
      <c r="S33" s="704">
        <f t="shared" si="12"/>
        <v>101</v>
      </c>
      <c r="T33" s="703" t="s">
        <v>14</v>
      </c>
      <c r="U33" s="704">
        <f t="shared" si="13"/>
        <v>101</v>
      </c>
      <c r="V33" s="703" t="s">
        <v>14</v>
      </c>
      <c r="W33" s="704">
        <f t="shared" si="14"/>
        <v>101</v>
      </c>
      <c r="X33" s="705"/>
      <c r="Y33" s="3820"/>
      <c r="Z33" s="706" t="str">
        <f t="shared" si="15"/>
        <v>项目建筑规模</v>
      </c>
      <c r="AA33" s="1345">
        <f t="shared" si="3"/>
        <v>0.99009900990099009</v>
      </c>
      <c r="AB33" s="1345">
        <f t="shared" si="4"/>
        <v>0.99009900990099009</v>
      </c>
      <c r="AC33" s="1345">
        <f t="shared" si="5"/>
        <v>0.99009900990099009</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18"/>
      <c r="Q34" s="1344" t="str">
        <f t="shared" si="11"/>
        <v>建筑结构</v>
      </c>
      <c r="R34" s="700" t="s">
        <v>14</v>
      </c>
      <c r="S34" s="701">
        <f t="shared" si="12"/>
        <v>100</v>
      </c>
      <c r="T34" s="700" t="s">
        <v>14</v>
      </c>
      <c r="U34" s="701">
        <f t="shared" si="13"/>
        <v>100</v>
      </c>
      <c r="V34" s="700" t="s">
        <v>14</v>
      </c>
      <c r="W34" s="701">
        <f t="shared" si="14"/>
        <v>100</v>
      </c>
      <c r="X34" s="1347"/>
      <c r="Y34" s="3820"/>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18"/>
      <c r="Q35" s="1344" t="str">
        <f t="shared" si="11"/>
        <v>公共部分装修</v>
      </c>
      <c r="R35" s="700" t="s">
        <v>14</v>
      </c>
      <c r="S35" s="701">
        <f t="shared" si="12"/>
        <v>100</v>
      </c>
      <c r="T35" s="700" t="s">
        <v>14</v>
      </c>
      <c r="U35" s="701">
        <f t="shared" si="13"/>
        <v>100</v>
      </c>
      <c r="V35" s="700" t="s">
        <v>14</v>
      </c>
      <c r="W35" s="701">
        <f t="shared" si="14"/>
        <v>100</v>
      </c>
      <c r="X35" s="1347"/>
      <c r="Y35" s="3820"/>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18"/>
      <c r="Q36" s="1344" t="str">
        <f t="shared" si="11"/>
        <v>成新度</v>
      </c>
      <c r="R36" s="700" t="s">
        <v>14</v>
      </c>
      <c r="S36" s="701">
        <f t="shared" si="12"/>
        <v>100</v>
      </c>
      <c r="T36" s="700" t="s">
        <v>14</v>
      </c>
      <c r="U36" s="701">
        <f t="shared" si="13"/>
        <v>100</v>
      </c>
      <c r="V36" s="700" t="s">
        <v>14</v>
      </c>
      <c r="W36" s="701">
        <f t="shared" si="14"/>
        <v>100</v>
      </c>
      <c r="X36" s="1347"/>
      <c r="Y36" s="3820"/>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18"/>
      <c r="Q37" s="1335" t="str">
        <f t="shared" si="11"/>
        <v>市政基础设施</v>
      </c>
      <c r="R37" s="696" t="s">
        <v>14</v>
      </c>
      <c r="S37" s="697">
        <f t="shared" si="12"/>
        <v>100</v>
      </c>
      <c r="T37" s="696" t="s">
        <v>14</v>
      </c>
      <c r="U37" s="697">
        <f t="shared" si="13"/>
        <v>100</v>
      </c>
      <c r="V37" s="696" t="s">
        <v>14</v>
      </c>
      <c r="W37" s="697">
        <f t="shared" si="14"/>
        <v>100</v>
      </c>
      <c r="X37" s="698"/>
      <c r="Y37" s="3820"/>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18" t="s">
        <v>1696</v>
      </c>
      <c r="Q38" s="1344" t="str">
        <f t="shared" si="11"/>
        <v>业态</v>
      </c>
      <c r="R38" s="700" t="s">
        <v>14</v>
      </c>
      <c r="S38" s="701">
        <f t="shared" si="12"/>
        <v>100</v>
      </c>
      <c r="T38" s="700" t="s">
        <v>14</v>
      </c>
      <c r="U38" s="701">
        <f t="shared" si="13"/>
        <v>100</v>
      </c>
      <c r="V38" s="700" t="s">
        <v>14</v>
      </c>
      <c r="W38" s="701">
        <f t="shared" si="14"/>
        <v>100</v>
      </c>
      <c r="X38" s="1347"/>
      <c r="Y38" s="3820"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18"/>
      <c r="Q39" s="1344" t="str">
        <f t="shared" si="11"/>
        <v>层高</v>
      </c>
      <c r="R39" s="700" t="s">
        <v>14</v>
      </c>
      <c r="S39" s="701">
        <f t="shared" si="12"/>
        <v>100</v>
      </c>
      <c r="T39" s="700" t="s">
        <v>14</v>
      </c>
      <c r="U39" s="701">
        <f t="shared" si="13"/>
        <v>100</v>
      </c>
      <c r="V39" s="700" t="s">
        <v>14</v>
      </c>
      <c r="W39" s="701">
        <f t="shared" si="14"/>
        <v>100</v>
      </c>
      <c r="X39" s="1347"/>
      <c r="Y39" s="3820"/>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18"/>
      <c r="Q40" s="1344" t="str">
        <f t="shared" si="11"/>
        <v>单套建筑面积</v>
      </c>
      <c r="R40" s="700" t="s">
        <v>14</v>
      </c>
      <c r="S40" s="701">
        <f t="shared" si="12"/>
        <v>100</v>
      </c>
      <c r="T40" s="700" t="s">
        <v>14</v>
      </c>
      <c r="U40" s="701">
        <f t="shared" si="13"/>
        <v>100</v>
      </c>
      <c r="V40" s="700" t="s">
        <v>14</v>
      </c>
      <c r="W40" s="701">
        <f t="shared" si="14"/>
        <v>100</v>
      </c>
      <c r="X40" s="1347"/>
      <c r="Y40" s="3820"/>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18"/>
      <c r="Q41" s="702" t="str">
        <f t="shared" si="11"/>
        <v>进深比</v>
      </c>
      <c r="R41" s="703" t="s">
        <v>14</v>
      </c>
      <c r="S41" s="704">
        <f t="shared" si="12"/>
        <v>100</v>
      </c>
      <c r="T41" s="703" t="s">
        <v>14</v>
      </c>
      <c r="U41" s="704">
        <f t="shared" si="13"/>
        <v>100</v>
      </c>
      <c r="V41" s="703" t="s">
        <v>14</v>
      </c>
      <c r="W41" s="704">
        <f t="shared" si="14"/>
        <v>100</v>
      </c>
      <c r="X41" s="705"/>
      <c r="Y41" s="3820"/>
      <c r="Z41" s="706" t="str">
        <f t="shared" si="15"/>
        <v>进深比</v>
      </c>
      <c r="AA41" s="1345">
        <f t="shared" si="3"/>
        <v>1</v>
      </c>
      <c r="AB41" s="1345">
        <f t="shared" si="4"/>
        <v>1</v>
      </c>
      <c r="AC41" s="1345">
        <f t="shared" si="5"/>
        <v>1</v>
      </c>
    </row>
    <row r="42" spans="1:29" ht="15">
      <c r="A42" s="422"/>
      <c r="B42" s="374" t="s">
        <v>1792</v>
      </c>
      <c r="C42" s="1896" t="s">
        <v>4214</v>
      </c>
      <c r="D42" s="385">
        <v>100</v>
      </c>
      <c r="E42" s="1896" t="s">
        <v>4214</v>
      </c>
      <c r="F42" s="411">
        <f>SUMIF(122:122,E42,123:123)-SUMIF(122:122,C42,123:123)+100</f>
        <v>100</v>
      </c>
      <c r="G42" s="1896" t="s">
        <v>4237</v>
      </c>
      <c r="H42" s="385">
        <f>SUMIF(122:122,G42,123:123)-SUMIF(122:122,C42,123:123)+100</f>
        <v>102</v>
      </c>
      <c r="I42" s="1896" t="s">
        <v>4237</v>
      </c>
      <c r="J42" s="385">
        <f>SUMIF(122:122,I42,123:123)-SUMIF(122:122,C42,123:123)+100</f>
        <v>102</v>
      </c>
      <c r="K42" s="558">
        <v>1</v>
      </c>
      <c r="L42" s="2706"/>
      <c r="M42" s="2700"/>
      <c r="N42" s="2700"/>
      <c r="O42" s="2700"/>
      <c r="P42" s="3818"/>
      <c r="Q42" s="1344" t="str">
        <f t="shared" si="11"/>
        <v>内部装修</v>
      </c>
      <c r="R42" s="700" t="s">
        <v>14</v>
      </c>
      <c r="S42" s="701">
        <f t="shared" si="12"/>
        <v>100</v>
      </c>
      <c r="T42" s="700" t="s">
        <v>14</v>
      </c>
      <c r="U42" s="701">
        <f t="shared" si="13"/>
        <v>102</v>
      </c>
      <c r="V42" s="700" t="s">
        <v>14</v>
      </c>
      <c r="W42" s="701">
        <f t="shared" si="14"/>
        <v>102</v>
      </c>
      <c r="X42" s="1347"/>
      <c r="Y42" s="3820"/>
      <c r="Z42" s="1348" t="str">
        <f t="shared" si="15"/>
        <v>内部装修</v>
      </c>
      <c r="AA42" s="1345">
        <f t="shared" si="3"/>
        <v>1</v>
      </c>
      <c r="AB42" s="1345">
        <f t="shared" si="4"/>
        <v>0.98039215686274506</v>
      </c>
      <c r="AC42" s="1345">
        <f t="shared" si="5"/>
        <v>0.98039215686274506</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18"/>
      <c r="Q43" s="1344" t="str">
        <f t="shared" si="11"/>
        <v>内部装修维护情况</v>
      </c>
      <c r="R43" s="700" t="s">
        <v>14</v>
      </c>
      <c r="S43" s="701">
        <f t="shared" si="12"/>
        <v>100</v>
      </c>
      <c r="T43" s="700" t="s">
        <v>14</v>
      </c>
      <c r="U43" s="701">
        <f t="shared" si="13"/>
        <v>100</v>
      </c>
      <c r="V43" s="700" t="s">
        <v>14</v>
      </c>
      <c r="W43" s="701">
        <f t="shared" si="14"/>
        <v>100</v>
      </c>
      <c r="X43" s="1347"/>
      <c r="Y43" s="3820"/>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18"/>
      <c r="Q44" s="1335">
        <f t="shared" si="11"/>
        <v>111</v>
      </c>
      <c r="R44" s="696" t="s">
        <v>14</v>
      </c>
      <c r="S44" s="697">
        <f t="shared" si="12"/>
        <v>100</v>
      </c>
      <c r="T44" s="696" t="s">
        <v>14</v>
      </c>
      <c r="U44" s="697">
        <f t="shared" si="13"/>
        <v>100</v>
      </c>
      <c r="V44" s="696" t="s">
        <v>14</v>
      </c>
      <c r="W44" s="697">
        <f t="shared" si="14"/>
        <v>100</v>
      </c>
      <c r="X44" s="698"/>
      <c r="Y44" s="3820"/>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18"/>
      <c r="Q45" s="1344">
        <f t="shared" si="11"/>
        <v>111</v>
      </c>
      <c r="R45" s="700" t="s">
        <v>14</v>
      </c>
      <c r="S45" s="701">
        <f t="shared" si="12"/>
        <v>100</v>
      </c>
      <c r="T45" s="700" t="s">
        <v>14</v>
      </c>
      <c r="U45" s="701">
        <f t="shared" si="13"/>
        <v>100</v>
      </c>
      <c r="V45" s="700" t="s">
        <v>14</v>
      </c>
      <c r="W45" s="701">
        <f t="shared" si="14"/>
        <v>100</v>
      </c>
      <c r="X45" s="1347"/>
      <c r="Y45" s="3820"/>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19"/>
      <c r="Q46" s="1344">
        <f t="shared" si="11"/>
        <v>111</v>
      </c>
      <c r="R46" s="700" t="s">
        <v>14</v>
      </c>
      <c r="S46" s="701">
        <f t="shared" si="12"/>
        <v>100</v>
      </c>
      <c r="T46" s="700" t="s">
        <v>14</v>
      </c>
      <c r="U46" s="701">
        <f t="shared" si="13"/>
        <v>100</v>
      </c>
      <c r="V46" s="700" t="s">
        <v>14</v>
      </c>
      <c r="W46" s="701">
        <f t="shared" si="14"/>
        <v>100</v>
      </c>
      <c r="X46" s="1347"/>
      <c r="Y46" s="3821"/>
      <c r="Z46" s="1348">
        <f t="shared" si="15"/>
        <v>111</v>
      </c>
      <c r="AA46" s="1345">
        <f t="shared" si="3"/>
        <v>1</v>
      </c>
      <c r="AB46" s="1345">
        <f t="shared" si="4"/>
        <v>1</v>
      </c>
      <c r="AC46" s="1345">
        <f t="shared" si="5"/>
        <v>1</v>
      </c>
    </row>
    <row r="47" spans="1:29" ht="15">
      <c r="A47" s="427" t="s">
        <v>1708</v>
      </c>
      <c r="B47" s="428"/>
      <c r="C47" s="1146" t="s">
        <v>0</v>
      </c>
      <c r="D47" s="1147"/>
      <c r="E47" s="1148">
        <v>55000</v>
      </c>
      <c r="F47" s="1149"/>
      <c r="G47" s="1150">
        <v>57200</v>
      </c>
      <c r="H47" s="1151"/>
      <c r="I47" s="1148">
        <v>55000</v>
      </c>
      <c r="J47" s="1151"/>
      <c r="K47" s="709"/>
      <c r="L47" s="2708"/>
      <c r="M47" s="2709"/>
      <c r="N47" s="2700"/>
      <c r="O47" s="2709"/>
      <c r="P47" s="3813" t="str">
        <f>A47</f>
        <v>成交单价（元/平方米）</v>
      </c>
      <c r="Q47" s="3813"/>
      <c r="R47" s="3844">
        <f>E47</f>
        <v>55000</v>
      </c>
      <c r="S47" s="3844"/>
      <c r="T47" s="3844">
        <f>G47</f>
        <v>57200</v>
      </c>
      <c r="U47" s="3844"/>
      <c r="V47" s="3844">
        <f>I47</f>
        <v>55000</v>
      </c>
      <c r="W47" s="3844"/>
      <c r="X47" s="685"/>
      <c r="Y47" s="707"/>
      <c r="Z47" s="685"/>
      <c r="AA47" s="685"/>
      <c r="AB47" s="685"/>
      <c r="AC47" s="685"/>
    </row>
    <row r="48" spans="1:29" ht="15.75" thickBot="1">
      <c r="A48" s="434" t="s">
        <v>1793</v>
      </c>
      <c r="B48" s="435"/>
      <c r="C48" s="1152">
        <f>R49</f>
        <v>56736</v>
      </c>
      <c r="D48" s="2305" t="s">
        <v>2137</v>
      </c>
      <c r="E48" s="1153">
        <f>R48</f>
        <v>56741</v>
      </c>
      <c r="F48" s="2306"/>
      <c r="G48" s="1152">
        <f>T48</f>
        <v>56118</v>
      </c>
      <c r="H48" s="2306"/>
      <c r="I48" s="1153">
        <f>V48</f>
        <v>57349</v>
      </c>
      <c r="J48" s="2306"/>
      <c r="K48" s="2308">
        <f>F48+H48+J48</f>
        <v>0</v>
      </c>
      <c r="L48" s="2708"/>
      <c r="M48" s="2709"/>
      <c r="N48" s="2700"/>
      <c r="O48" s="2709"/>
      <c r="P48" s="3813" t="str">
        <f>A48</f>
        <v>比较价值（元/平方米）</v>
      </c>
      <c r="Q48" s="3813"/>
      <c r="R48" s="3814">
        <f>IF(F1="售价",ROUND(PRODUCT(R47,AA7:AA46),0),ROUND(PRODUCT(R47,AA7:AA46),1))</f>
        <v>56741</v>
      </c>
      <c r="S48" s="3814"/>
      <c r="T48" s="3814">
        <f>IF(F1="售价",ROUND(PRODUCT(T47,AB7:AB46),0),ROUND(PRODUCT(T47,AB7:AB46),1))</f>
        <v>56118</v>
      </c>
      <c r="U48" s="3814"/>
      <c r="V48" s="3814">
        <f>IF(F1="售价",ROUND(PRODUCT(V47,AC7:AC46),0),ROUND(PRODUCT(V47,AC7:AC46),1))</f>
        <v>57349</v>
      </c>
      <c r="W48" s="3814"/>
      <c r="X48" s="685"/>
      <c r="Y48" s="685"/>
      <c r="Z48" s="685"/>
      <c r="AA48" s="685"/>
      <c r="AB48" s="685"/>
      <c r="AC48" s="685"/>
    </row>
    <row r="49" spans="1:29" ht="15.75" thickBot="1">
      <c r="A49" s="438" t="s">
        <v>1794</v>
      </c>
      <c r="B49" s="439"/>
      <c r="C49" s="1155">
        <f>R49</f>
        <v>56736</v>
      </c>
      <c r="D49" s="1155"/>
      <c r="E49" s="1155"/>
      <c r="F49" s="1155"/>
      <c r="G49" s="1155"/>
      <c r="H49" s="1155"/>
      <c r="I49" s="1155"/>
      <c r="J49" s="1155"/>
      <c r="K49" s="710"/>
      <c r="L49" s="2708"/>
      <c r="M49" s="2709"/>
      <c r="N49" s="2700"/>
      <c r="O49" s="2709"/>
      <c r="P49" s="3810" t="str">
        <f>A49</f>
        <v>估价对象XX用房的比较价值（楼面单价，元/平方米）</v>
      </c>
      <c r="Q49" s="3811"/>
      <c r="R49" s="3812">
        <f>IF(F1="售价",ROUND(IF(D48="简单平均",AVERAGE(R48:V48),R48*F48+T48*H48+V48*J48),0),ROUND(IF(D48="简单平均",AVERAGE(R48:V48),R48*F48+T48*H48+V48*J48),1))</f>
        <v>56736</v>
      </c>
      <c r="S49" s="3812"/>
      <c r="T49" s="3812"/>
      <c r="U49" s="3812"/>
      <c r="V49" s="3812"/>
      <c r="W49" s="3812"/>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3.165454545454538E-2</v>
      </c>
      <c r="F52" s="446" t="str">
        <f>IF(OR(E52&gt;=0.3,E52&lt;=-0.3),"超过30%","")</f>
        <v/>
      </c>
      <c r="G52" s="445">
        <f>IF(G47&lt;G48,G48/G47-1,G47/G48-1)</f>
        <v>1.9280801168965356E-2</v>
      </c>
      <c r="H52" s="446" t="str">
        <f>IF(OR(G52&gt;=0.3,G52&lt;=-0.3),"超过30%","")</f>
        <v/>
      </c>
      <c r="I52" s="445">
        <f>IF(I47&lt;I48,I48/I47-1,I47/I48-1)</f>
        <v>4.2709090909090808E-2</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1.1101607327417273E-2</v>
      </c>
      <c r="F53" s="446" t="str">
        <f>IF(OR(E53&gt;=0.2,E53&lt;=-0.2),"超过20%","")</f>
        <v/>
      </c>
      <c r="G53" s="445">
        <f>IF(G48&lt;I48,I48/G48-1,G48/I48-1)</f>
        <v>2.193592073844397E-2</v>
      </c>
      <c r="H53" s="446" t="str">
        <f>IF(OR(G53&gt;=0.2,G53&lt;=-0.2),"超过20%","")</f>
        <v/>
      </c>
      <c r="I53" s="445">
        <f>IF(I48&lt;E48,E48/I48-1,I48/E48-1)</f>
        <v>1.0715355739236099E-2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4.0000000000000036E-2</v>
      </c>
      <c r="F54" s="446" t="str">
        <f>IF(OR(E54&gt;=0.3,E54&lt;=-0.3),"超过30%","")</f>
        <v/>
      </c>
      <c r="G54" s="445">
        <f>IF(G47&lt;I47,I47/G47-1,G47/I47-1)</f>
        <v>4.0000000000000036E-2</v>
      </c>
      <c r="H54" s="446" t="str">
        <f>IF(OR(G54&gt;=0.3,G54&lt;=-0.3),"超过30%","")</f>
        <v/>
      </c>
      <c r="I54" s="445">
        <f>IF(I47&lt;E47,E47/I47-1,I47/E47-1)</f>
        <v>0</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2024-1</v>
      </c>
      <c r="D58" s="1177">
        <f>EDATE(C58,-1)</f>
        <v>45261</v>
      </c>
      <c r="E58" s="1177">
        <f t="shared" ref="E58:N58" si="16">EDATE(D58,-1)</f>
        <v>45231</v>
      </c>
      <c r="F58" s="1177">
        <f t="shared" si="16"/>
        <v>45200</v>
      </c>
      <c r="G58" s="1177">
        <f t="shared" si="16"/>
        <v>45170</v>
      </c>
      <c r="H58" s="1177">
        <f t="shared" si="16"/>
        <v>45139</v>
      </c>
      <c r="I58" s="1177">
        <f t="shared" si="16"/>
        <v>45108</v>
      </c>
      <c r="J58" s="1177">
        <f t="shared" si="16"/>
        <v>45078</v>
      </c>
      <c r="K58" s="1177">
        <f t="shared" si="16"/>
        <v>45047</v>
      </c>
      <c r="L58" s="1177">
        <f t="shared" si="16"/>
        <v>45017</v>
      </c>
      <c r="M58" s="1177">
        <f t="shared" si="16"/>
        <v>44986</v>
      </c>
      <c r="N58" s="1177">
        <f t="shared" si="16"/>
        <v>44958</v>
      </c>
      <c r="O58" s="1177">
        <f>EDATE(N58,-1)</f>
        <v>44927</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v>100</v>
      </c>
      <c r="E59" s="458">
        <v>100</v>
      </c>
      <c r="F59" s="458">
        <v>100</v>
      </c>
      <c r="G59" s="458">
        <v>100</v>
      </c>
      <c r="H59" s="458">
        <v>100</v>
      </c>
      <c r="I59" s="458">
        <v>100</v>
      </c>
      <c r="J59" s="458">
        <v>100</v>
      </c>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97</v>
      </c>
      <c r="E85" s="490">
        <f>D85-$K23</f>
        <v>94</v>
      </c>
      <c r="F85" s="490">
        <f>E85-$K23</f>
        <v>91</v>
      </c>
      <c r="G85" s="490">
        <f>F85-$K23</f>
        <v>88</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4224</v>
      </c>
      <c r="D86" s="3441" t="s">
        <v>4225</v>
      </c>
      <c r="E86" s="3441" t="s">
        <v>4226</v>
      </c>
      <c r="F86" s="3441" t="s">
        <v>4227</v>
      </c>
      <c r="G86" s="3441" t="s">
        <v>4228</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4229</v>
      </c>
      <c r="D88" s="500" t="s">
        <v>3403</v>
      </c>
      <c r="E88" s="500" t="s">
        <v>3419</v>
      </c>
      <c r="F88" s="1915" t="s">
        <v>4221</v>
      </c>
      <c r="G88" s="500" t="s">
        <v>4230</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4231</v>
      </c>
      <c r="D90" s="3441" t="s">
        <v>4232</v>
      </c>
      <c r="E90" s="3441" t="s">
        <v>4233</v>
      </c>
      <c r="F90" s="3441" t="s">
        <v>4234</v>
      </c>
      <c r="G90" s="3441" t="s">
        <v>4235</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4241</v>
      </c>
      <c r="D100" s="3444" t="s">
        <v>4242</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97</v>
      </c>
      <c r="E101" s="490">
        <f t="shared" si="23"/>
        <v>94</v>
      </c>
      <c r="F101" s="490">
        <f t="shared" si="23"/>
        <v>91</v>
      </c>
      <c r="G101" s="490">
        <f t="shared" si="23"/>
        <v>88</v>
      </c>
      <c r="H101" s="490">
        <f t="shared" si="23"/>
        <v>85</v>
      </c>
      <c r="I101" s="490">
        <f t="shared" si="23"/>
        <v>82</v>
      </c>
      <c r="J101" s="490">
        <f t="shared" si="23"/>
        <v>79</v>
      </c>
      <c r="K101" s="490">
        <f t="shared" si="23"/>
        <v>76</v>
      </c>
      <c r="L101" s="490">
        <f t="shared" si="23"/>
        <v>73</v>
      </c>
      <c r="M101" s="491">
        <f t="shared" si="23"/>
        <v>70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I30" sqref="I30"/>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30.95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594.59569999999997</v>
      </c>
      <c r="C2" s="1379" t="s">
        <v>879</v>
      </c>
      <c r="D2" s="1463">
        <f ca="1">C40+J29+L46</f>
        <v>5945957</v>
      </c>
      <c r="E2" s="1380" t="s">
        <v>880</v>
      </c>
      <c r="F2" s="1381"/>
      <c r="G2" s="2690"/>
      <c r="H2" s="2679"/>
      <c r="I2" s="2679"/>
      <c r="J2" s="2679"/>
      <c r="K2" s="2680"/>
      <c r="L2" s="2679"/>
      <c r="M2" s="2679"/>
    </row>
    <row r="3" spans="1:37" ht="18" customHeight="1" thickBot="1">
      <c r="A3" s="1382" t="s">
        <v>806</v>
      </c>
      <c r="B3" s="1383">
        <f ca="1">IF(ISERROR(D2/F43),0,ROUND(D2/F43,0))</f>
        <v>24325</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522593</v>
      </c>
      <c r="D5" s="1356" t="s">
        <v>889</v>
      </c>
      <c r="E5" s="1063"/>
      <c r="F5" s="1064"/>
      <c r="G5" s="1376"/>
      <c r="H5" s="299">
        <v>1</v>
      </c>
      <c r="I5" s="300" t="s">
        <v>888</v>
      </c>
      <c r="J5" s="1062">
        <f ca="1">J6+J10+J12</f>
        <v>0</v>
      </c>
      <c r="K5" s="1356" t="s">
        <v>889</v>
      </c>
      <c r="L5" s="1063"/>
      <c r="M5" s="1064"/>
    </row>
    <row r="6" spans="1:37" ht="18" customHeight="1">
      <c r="A6" s="1061" t="s">
        <v>398</v>
      </c>
      <c r="B6" s="3867" t="s">
        <v>694</v>
      </c>
      <c r="C6" s="1066">
        <f ca="1">ROUND(F6*F8*F7*(1-F9),0)</f>
        <v>521941</v>
      </c>
      <c r="D6" s="155" t="s">
        <v>2105</v>
      </c>
      <c r="E6" s="302" t="s">
        <v>696</v>
      </c>
      <c r="F6" s="303">
        <f ca="1">INDIRECT("'数据-取费表'!u"&amp;$G$1)</f>
        <v>6.5</v>
      </c>
      <c r="G6" s="1376"/>
      <c r="H6" s="1061" t="s">
        <v>398</v>
      </c>
      <c r="I6" s="3867" t="s">
        <v>694</v>
      </c>
      <c r="J6" s="301">
        <f ca="1">ROUND(M6*M8*M7*(1-M9),0)</f>
        <v>0</v>
      </c>
      <c r="K6" s="1368" t="s">
        <v>2106</v>
      </c>
      <c r="L6" s="302" t="s">
        <v>696</v>
      </c>
      <c r="M6" s="303">
        <f ca="1">INDIRECT("'数据-取费表'!z"&amp;$G$1)</f>
        <v>0</v>
      </c>
    </row>
    <row r="7" spans="1:37" ht="18" customHeight="1">
      <c r="A7" s="1065"/>
      <c r="B7" s="3868"/>
      <c r="C7" s="1067"/>
      <c r="D7" s="307"/>
      <c r="E7" s="3502" t="s">
        <v>697</v>
      </c>
      <c r="F7" s="303">
        <f ca="1">IF(INDIRECT("'数据-取费表'!ah"&amp;$G$1)="",INDIRECT("'数据-取费表'!k"&amp;$G$1),INDIRECT("'数据-取费表'!ah"&amp;$G$1))</f>
        <v>244.44</v>
      </c>
      <c r="G7" s="1376"/>
      <c r="H7" s="304"/>
      <c r="I7" s="3868"/>
      <c r="J7" s="306"/>
      <c r="K7" s="307"/>
      <c r="L7" s="302" t="s">
        <v>697</v>
      </c>
      <c r="M7" s="303">
        <f ca="1">F7</f>
        <v>244.44</v>
      </c>
    </row>
    <row r="8" spans="1:37" ht="18" customHeight="1">
      <c r="A8" s="304"/>
      <c r="B8" s="3868"/>
      <c r="C8" s="306"/>
      <c r="D8" s="307"/>
      <c r="E8" s="302" t="s">
        <v>698</v>
      </c>
      <c r="F8" s="303">
        <f ca="1">INDIRECT("'数据-取费表'!ai"&amp;$G$1)</f>
        <v>365</v>
      </c>
      <c r="G8" s="1376"/>
      <c r="H8" s="304"/>
      <c r="I8" s="3868"/>
      <c r="J8" s="306"/>
      <c r="K8" s="307"/>
      <c r="L8" s="302" t="s">
        <v>698</v>
      </c>
      <c r="M8" s="303">
        <f ca="1">INDIRECT("'数据-取费表'!ai"&amp;$G$1)</f>
        <v>365</v>
      </c>
    </row>
    <row r="9" spans="1:37" ht="18" customHeight="1">
      <c r="A9" s="304"/>
      <c r="B9" s="3869"/>
      <c r="C9" s="306"/>
      <c r="D9" s="307"/>
      <c r="E9" s="302" t="s">
        <v>699</v>
      </c>
      <c r="F9" s="312">
        <f ca="1">INDIRECT("'数据-取费表'!w"&amp;$G$1)</f>
        <v>0.1</v>
      </c>
      <c r="G9" s="1376"/>
      <c r="H9" s="304"/>
      <c r="I9" s="3869"/>
      <c r="J9" s="306"/>
      <c r="K9" s="307"/>
      <c r="L9" s="313" t="s">
        <v>699</v>
      </c>
      <c r="M9" s="314">
        <f ca="1">INDIRECT("'数据-取费表'!ab"&amp;$G$1)</f>
        <v>0</v>
      </c>
    </row>
    <row r="10" spans="1:37" ht="18" customHeight="1">
      <c r="A10" s="1061" t="s">
        <v>402</v>
      </c>
      <c r="B10" s="1357" t="s">
        <v>700</v>
      </c>
      <c r="C10" s="316">
        <f ca="1">ROUND(IF(F10="押一",C6/12*F11,IF(F10="押二",C6/12*2*F11,IF(F10="押三",C6/12*3*F11,C11*F11))),0)</f>
        <v>652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2103294</v>
      </c>
      <c r="D13" s="3479" t="s">
        <v>705</v>
      </c>
      <c r="E13" s="3479" t="s">
        <v>706</v>
      </c>
      <c r="F13" s="1074">
        <f ca="1">INDIRECT("'数据-取费表'!y"&amp;$G$1)</f>
        <v>0.95</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1466640</v>
      </c>
      <c r="D14" s="3491" t="s">
        <v>708</v>
      </c>
      <c r="E14" s="3484"/>
      <c r="F14" s="319"/>
      <c r="G14" s="1376"/>
      <c r="H14" s="974" t="s">
        <v>398</v>
      </c>
      <c r="I14" s="302" t="s">
        <v>709</v>
      </c>
      <c r="J14" s="21">
        <f ca="1">C29</f>
        <v>2213994</v>
      </c>
      <c r="K14" s="3500"/>
      <c r="L14" s="799"/>
      <c r="M14" s="800"/>
    </row>
    <row r="15" spans="1:37" s="1389" customFormat="1" ht="18" customHeight="1" thickBot="1">
      <c r="A15" s="974" t="s">
        <v>399</v>
      </c>
      <c r="B15" s="302" t="s">
        <v>710</v>
      </c>
      <c r="C15" s="21">
        <f ca="1">ROUND(C14*F15,0)</f>
        <v>73332</v>
      </c>
      <c r="D15" s="3480" t="s">
        <v>711</v>
      </c>
      <c r="E15" s="3480" t="s">
        <v>712</v>
      </c>
      <c r="F15" s="321">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11070</v>
      </c>
      <c r="K16" s="1079" t="s">
        <v>715</v>
      </c>
      <c r="L16" s="3494"/>
      <c r="M16" s="1064"/>
    </row>
    <row r="17" spans="1:37" s="1389" customFormat="1" ht="18" customHeight="1">
      <c r="A17" s="974" t="s">
        <v>681</v>
      </c>
      <c r="B17" s="302" t="s">
        <v>716</v>
      </c>
      <c r="C17" s="21">
        <f ca="1">ROUND(F17*(F43+INDIRECT("'数据-取费表'!S"&amp;$G$1)),0)</f>
        <v>48888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22000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1610860</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32217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11070</v>
      </c>
      <c r="K22" s="3489" t="s">
        <v>739</v>
      </c>
      <c r="L22" s="302" t="s">
        <v>712</v>
      </c>
      <c r="M22" s="328">
        <f ca="1">INDIRECT("'数据-取费表'!Ak"&amp;$G$1)</f>
        <v>5.0000000000000001E-3</v>
      </c>
    </row>
    <row r="23" spans="1:37" s="1389" customFormat="1" ht="18" customHeight="1">
      <c r="A23" s="974" t="s">
        <v>397</v>
      </c>
      <c r="B23" s="302" t="s">
        <v>740</v>
      </c>
      <c r="C23" s="21">
        <f ca="1">IF('数据-取费表'!B22&lt;=1,ROUND(C19*F24*F23/2,0)+ROUND(C20*F24*F23/2,0),ROUND(C19*(POWER((1+F24),F23/2)-1),0)+ROUND(C20*(POWER((1+F24),F23/2)-1),0))</f>
        <v>71160</v>
      </c>
      <c r="D23" s="329" t="str">
        <f>IF(F23&lt;=1,"(建造成本+管理费用)×利率×(建设周期÷2)","(建造成本+管理费用)×((1+利率)^(建设周期÷2)-1)")</f>
        <v>(建造成本+管理费用)×((1+利率)^(建设周期÷2)-1)</v>
      </c>
      <c r="E23" s="302" t="s">
        <v>741</v>
      </c>
      <c r="F23" s="325">
        <f>'数据-取费表'!B20</f>
        <v>2.5</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-11070</v>
      </c>
      <c r="K25" s="1087" t="s">
        <v>753</v>
      </c>
      <c r="L25" s="1088"/>
      <c r="M25" s="1089"/>
    </row>
    <row r="26" spans="1:37" ht="18" customHeight="1">
      <c r="A26" s="974" t="s">
        <v>397</v>
      </c>
      <c r="B26" s="302" t="s">
        <v>754</v>
      </c>
      <c r="C26" s="21">
        <f ca="1">ROUND((C19+C20)*F26,0)</f>
        <v>328615</v>
      </c>
      <c r="D26" s="2413" t="s">
        <v>755</v>
      </c>
      <c r="E26" s="313" t="s">
        <v>756</v>
      </c>
      <c r="F26" s="312">
        <f ca="1">INDIRECT("'数据-取费表'!q"&amp;$G$1)</f>
        <v>0.2</v>
      </c>
      <c r="G26" s="1376"/>
      <c r="H26" s="299" t="s">
        <v>395</v>
      </c>
      <c r="I26" s="300" t="s">
        <v>757</v>
      </c>
      <c r="J26" s="301">
        <f ca="1">IF(J5&lt;&gt;0,ROUND(J25*(1-((1+M28)/(1+M26))^M27)/(M26-M28),0),0)</f>
        <v>0</v>
      </c>
      <c r="K26" s="324" t="s">
        <v>758</v>
      </c>
      <c r="L26" s="302" t="s">
        <v>759</v>
      </c>
      <c r="M26" s="312">
        <f ca="1">INDIRECT("'数据-取费表'!I"&amp;$G$1)</f>
        <v>0.06</v>
      </c>
    </row>
    <row r="27" spans="1:37" ht="18" customHeight="1">
      <c r="A27" s="974" t="s">
        <v>399</v>
      </c>
      <c r="B27" s="302" t="s">
        <v>760</v>
      </c>
      <c r="C27" s="21">
        <f ca="1">ROUND(F21*F26,4)</f>
        <v>4.0000000000000001E-3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2213994</v>
      </c>
      <c r="D29" s="1084"/>
      <c r="E29" s="1082"/>
      <c r="F29" s="1085"/>
      <c r="G29" s="1388"/>
      <c r="H29" s="334" t="s">
        <v>396</v>
      </c>
      <c r="I29" s="335" t="s">
        <v>768</v>
      </c>
      <c r="J29" s="336">
        <f ca="1">ROUND(J26/(1+F40)^F41,0)</f>
        <v>0</v>
      </c>
      <c r="K29" s="337" t="s">
        <v>769</v>
      </c>
      <c r="L29" s="338"/>
      <c r="M29" s="339">
        <f ca="1">INDIRECT("'数据-取费表'!k"&amp;$G$1)</f>
        <v>244.44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102835</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87049</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27340</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59650</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59</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'商办车库-新'!G219</f>
        <v>39.659999999999997</v>
      </c>
      <c r="G35" s="1376"/>
      <c r="H35" s="2681"/>
      <c r="I35" s="1390"/>
      <c r="J35" s="1391"/>
      <c r="K35" s="2685"/>
      <c r="L35" s="2684"/>
      <c r="M35" s="2684"/>
    </row>
    <row r="36" spans="1:18" ht="18" customHeight="1">
      <c r="A36" s="1094" t="s">
        <v>402</v>
      </c>
      <c r="B36" s="302" t="s">
        <v>738</v>
      </c>
      <c r="C36" s="21">
        <f ca="1">ROUND(C29*F36,0)</f>
        <v>11070</v>
      </c>
      <c r="D36" s="3489" t="s">
        <v>771</v>
      </c>
      <c r="E36" s="302" t="s">
        <v>712</v>
      </c>
      <c r="F36" s="328">
        <f ca="1">INDIRECT("'数据-取费表'!Ak"&amp;$G$1)</f>
        <v>5.0000000000000001E-3</v>
      </c>
      <c r="G36" s="1376"/>
      <c r="H36" s="2684"/>
      <c r="I36" s="1390"/>
      <c r="J36" s="1391"/>
      <c r="K36" s="2529"/>
      <c r="L36" s="2684"/>
      <c r="M36" s="2684"/>
    </row>
    <row r="37" spans="1:18" ht="18" customHeight="1">
      <c r="A37" s="974" t="s">
        <v>437</v>
      </c>
      <c r="B37" s="302" t="s">
        <v>742</v>
      </c>
      <c r="C37" s="21">
        <f ca="1">ROUND(C13*F37,0)</f>
        <v>2103</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2613</v>
      </c>
      <c r="D38" s="1084" t="s">
        <v>748</v>
      </c>
      <c r="E38" s="1082" t="s">
        <v>712</v>
      </c>
      <c r="F38" s="1078">
        <f ca="1">INDIRECT("'数据-取费表'!Am"&amp;$G$1)</f>
        <v>5.0000000000000001E-3</v>
      </c>
      <c r="G38" s="1376"/>
      <c r="H38" s="2684"/>
      <c r="I38" s="1390"/>
      <c r="J38" s="1391"/>
      <c r="K38" s="2688"/>
      <c r="L38" s="2684"/>
      <c r="M38" s="2684"/>
    </row>
    <row r="39" spans="1:18" ht="24.6" customHeight="1" thickTop="1">
      <c r="A39" s="1071" t="s">
        <v>394</v>
      </c>
      <c r="B39" s="1086" t="s">
        <v>752</v>
      </c>
      <c r="C39" s="310">
        <f ca="1">C5-C30</f>
        <v>419758</v>
      </c>
      <c r="D39" s="1087" t="s">
        <v>773</v>
      </c>
      <c r="E39" s="1088"/>
      <c r="F39" s="1089"/>
      <c r="G39" s="1376"/>
      <c r="H39" s="2684"/>
      <c r="I39" s="1390"/>
      <c r="J39" s="1391"/>
      <c r="K39" s="2688"/>
      <c r="L39" s="2684"/>
      <c r="M39" s="2684"/>
    </row>
    <row r="40" spans="1:18" ht="18" customHeight="1">
      <c r="A40" s="299" t="s">
        <v>395</v>
      </c>
      <c r="B40" s="300" t="s">
        <v>774</v>
      </c>
      <c r="C40" s="301">
        <f ca="1">ROUND(C39*(1-((1+F42)/(1+F40))^F41)/(F40-F42),0)</f>
        <v>5843492</v>
      </c>
      <c r="D40" s="324" t="s">
        <v>758</v>
      </c>
      <c r="E40" s="302" t="s">
        <v>759</v>
      </c>
      <c r="F40" s="312">
        <f ca="1">INDIRECT("'数据-取费表'!I"&amp;$G$1)</f>
        <v>0.06</v>
      </c>
      <c r="G40" s="1376"/>
      <c r="H40" s="1453"/>
      <c r="I40" s="1390"/>
      <c r="J40" s="1391"/>
      <c r="K40" s="2688"/>
      <c r="L40" s="1453"/>
      <c r="M40" s="1453"/>
    </row>
    <row r="41" spans="1:18" ht="18" customHeight="1">
      <c r="A41" s="304"/>
      <c r="B41" s="305"/>
      <c r="C41" s="306"/>
      <c r="D41" s="332" t="s">
        <v>775</v>
      </c>
      <c r="E41" s="302" t="s">
        <v>763</v>
      </c>
      <c r="F41" s="3543">
        <f ca="1">'数据-取费表'!AE6</f>
        <v>30.95</v>
      </c>
      <c r="G41" s="1376"/>
      <c r="H41" s="1183"/>
      <c r="I41" s="1390"/>
      <c r="J41" s="1391"/>
      <c r="K41" s="2529"/>
      <c r="L41" s="1183"/>
      <c r="M41" s="1183"/>
    </row>
    <row r="42" spans="1:18" ht="18" customHeight="1">
      <c r="A42" s="308"/>
      <c r="B42" s="309"/>
      <c r="C42" s="310"/>
      <c r="D42" s="327"/>
      <c r="E42" s="302" t="s">
        <v>766</v>
      </c>
      <c r="F42" s="312">
        <f ca="1">INDIRECT("'数据-取费表'!v"&amp;$G$1)</f>
        <v>0</v>
      </c>
      <c r="G42" s="1376"/>
      <c r="H42" s="1183"/>
      <c r="I42" s="1390"/>
      <c r="J42" s="1391"/>
      <c r="K42" s="2529"/>
      <c r="L42" s="1183"/>
      <c r="M42" s="1183"/>
    </row>
    <row r="43" spans="1:18" ht="18" customHeight="1" thickBot="1">
      <c r="A43" s="334" t="s">
        <v>396</v>
      </c>
      <c r="B43" s="335" t="s">
        <v>776</v>
      </c>
      <c r="C43" s="336">
        <f ca="1">ROUND(C40/F43,0)</f>
        <v>23906</v>
      </c>
      <c r="D43" s="337" t="s">
        <v>777</v>
      </c>
      <c r="E43" s="338" t="s">
        <v>778</v>
      </c>
      <c r="F43" s="339">
        <f ca="1">INDIRECT("'数据-取费表'!k"&amp;$G$1)</f>
        <v>244.44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-602.76959999999997</v>
      </c>
      <c r="D45" s="3415" t="s">
        <v>3354</v>
      </c>
      <c r="E45" s="1392"/>
      <c r="F45" s="1392"/>
      <c r="O45" s="1395" t="s">
        <v>808</v>
      </c>
      <c r="P45" s="1453"/>
      <c r="Q45" s="1453"/>
      <c r="R45" s="1453"/>
    </row>
    <row r="46" spans="1:18" s="1376" customFormat="1" ht="13.5" thickBot="1">
      <c r="A46" s="1396" t="s">
        <v>809</v>
      </c>
      <c r="C46" s="1397">
        <f ca="1">ROUND(C45,0)</f>
        <v>-603</v>
      </c>
      <c r="D46" s="1398" t="str">
        <f>C2</f>
        <v>万元</v>
      </c>
      <c r="I46" s="1399" t="s">
        <v>810</v>
      </c>
      <c r="J46" s="1400"/>
      <c r="K46" s="1401"/>
      <c r="L46" s="1402">
        <f ca="1">IF(M47="住宅",0,IF(L48&gt;J51,L60,J60))</f>
        <v>102465</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5843492</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30.95</v>
      </c>
      <c r="O48" s="1410" t="s">
        <v>404</v>
      </c>
      <c r="P48" s="1411" t="s">
        <v>821</v>
      </c>
      <c r="Q48" s="1412">
        <f ca="1">J60</f>
        <v>102465</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2213994</v>
      </c>
      <c r="R49" s="1412" t="s">
        <v>818</v>
      </c>
    </row>
    <row r="50" spans="1:18" s="1376" customFormat="1" ht="13.5" thickBot="1">
      <c r="A50" s="968"/>
      <c r="B50" s="971"/>
      <c r="C50" s="972"/>
      <c r="D50" s="945"/>
      <c r="E50" s="1048" t="s">
        <v>697</v>
      </c>
      <c r="F50" s="1049">
        <f ca="1">F7</f>
        <v>244.44</v>
      </c>
      <c r="H50" s="718"/>
      <c r="I50" s="1413" t="s">
        <v>826</v>
      </c>
      <c r="J50" s="1421">
        <f>SUMPRODUCT((I63:I65=J47)*(J62:L62=J48)*(J63:L65))</f>
        <v>60</v>
      </c>
      <c r="K50" s="1415" t="s">
        <v>827</v>
      </c>
      <c r="L50" s="1419"/>
      <c r="M50" s="1422"/>
      <c r="O50" s="1420" t="s">
        <v>406</v>
      </c>
      <c r="P50" s="1411" t="s">
        <v>828</v>
      </c>
      <c r="Q50" s="1423">
        <f ca="1">J58</f>
        <v>0.434</v>
      </c>
      <c r="R50" s="1412"/>
    </row>
    <row r="51" spans="1:18" s="1376" customFormat="1" ht="13.5" thickBot="1">
      <c r="A51" s="969"/>
      <c r="B51" s="971"/>
      <c r="C51" s="972"/>
      <c r="D51" s="945"/>
      <c r="E51" s="973" t="s">
        <v>698</v>
      </c>
      <c r="F51" s="303">
        <f ca="1">F8</f>
        <v>365</v>
      </c>
      <c r="I51" s="1424" t="s">
        <v>829</v>
      </c>
      <c r="J51" s="1425">
        <f>IF(J49="",J50,J49+J50-YEAR('数据-取费表'!B2))</f>
        <v>57</v>
      </c>
      <c r="K51" s="1426" t="s">
        <v>830</v>
      </c>
      <c r="L51" s="1427">
        <f ca="1">ROUND(-PV(INDIRECT("'数据-取费表'!h"&amp;$G$1),J51,(C39-C13*C76),0),0)</f>
        <v>5112756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30.95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30.95</v>
      </c>
      <c r="K53" s="3865" t="s">
        <v>837</v>
      </c>
      <c r="L53" s="3866"/>
      <c r="O53" s="1410" t="s">
        <v>409</v>
      </c>
      <c r="P53" s="1411" t="s">
        <v>838</v>
      </c>
      <c r="Q53" s="1412">
        <f ca="1">Q47+Q48</f>
        <v>5945957</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0.434</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2103294</v>
      </c>
      <c r="D56" s="1439"/>
      <c r="E56" s="1440"/>
      <c r="F56" s="1432"/>
      <c r="I56" s="1441" t="s">
        <v>842</v>
      </c>
      <c r="J56" s="1442" t="s">
        <v>3387</v>
      </c>
      <c r="K56" s="1413" t="s">
        <v>843</v>
      </c>
      <c r="L56" s="1416" t="str">
        <f ca="1">IF(L48&lt;J51,"——",L48-J51)</f>
        <v>——</v>
      </c>
      <c r="O56" s="1410" t="s">
        <v>403</v>
      </c>
      <c r="P56" s="1411" t="s">
        <v>817</v>
      </c>
      <c r="Q56" s="1412">
        <f ca="1">C40+J29</f>
        <v>5843492</v>
      </c>
      <c r="R56" s="1412" t="s">
        <v>818</v>
      </c>
    </row>
    <row r="57" spans="1:18" s="1376" customFormat="1" ht="24.75" thickBot="1">
      <c r="A57" s="1443"/>
      <c r="B57" s="942" t="s">
        <v>767</v>
      </c>
      <c r="C57" s="238">
        <f ca="1">C29</f>
        <v>2213994</v>
      </c>
      <c r="D57" s="1444"/>
      <c r="E57" s="1445"/>
      <c r="F57" s="1446"/>
      <c r="I57" s="1447" t="s">
        <v>844</v>
      </c>
      <c r="J57" s="1448">
        <f ca="1">IF(OR(M47="住宅",J51&lt;L48,J56="是"),"——",J51-L48)</f>
        <v>26.05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13232</v>
      </c>
      <c r="D58" s="952" t="s">
        <v>715</v>
      </c>
      <c r="E58" s="953"/>
      <c r="F58" s="954"/>
      <c r="I58" s="1447" t="s">
        <v>848</v>
      </c>
      <c r="J58" s="1449">
        <f ca="1">IF(J55&lt;0.4,0.4,J55)</f>
        <v>0.434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59</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960873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102465</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59</v>
      </c>
      <c r="D62" s="957" t="s">
        <v>786</v>
      </c>
      <c r="E62" s="942" t="s">
        <v>787</v>
      </c>
      <c r="F62" s="325">
        <f t="shared" si="0"/>
        <v>1.5</v>
      </c>
      <c r="I62" s="1454" t="s">
        <v>858</v>
      </c>
      <c r="J62" s="1455" t="s">
        <v>859</v>
      </c>
      <c r="K62" s="1455" t="s">
        <v>860</v>
      </c>
      <c r="L62" s="1455" t="s">
        <v>861</v>
      </c>
      <c r="M62" s="1456" t="s">
        <v>862</v>
      </c>
      <c r="O62" s="1410" t="s">
        <v>409</v>
      </c>
      <c r="P62" s="1411" t="s">
        <v>863</v>
      </c>
      <c r="Q62" s="1412">
        <f ca="1">Q56+Q57</f>
        <v>5843492</v>
      </c>
      <c r="R62" s="1412" t="s">
        <v>410</v>
      </c>
    </row>
    <row r="63" spans="1:18" s="1376" customFormat="1" ht="13.5" thickBot="1">
      <c r="A63" s="326"/>
      <c r="B63" s="948"/>
      <c r="C63" s="26"/>
      <c r="D63" s="958"/>
      <c r="E63" s="942" t="s">
        <v>788</v>
      </c>
      <c r="F63" s="303">
        <f t="shared" si="0"/>
        <v>39.659999999999997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11070</v>
      </c>
      <c r="D64" s="956" t="s">
        <v>791</v>
      </c>
      <c r="E64" s="942" t="s">
        <v>783</v>
      </c>
      <c r="F64" s="328">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2103</v>
      </c>
      <c r="D65" s="956" t="s">
        <v>743</v>
      </c>
      <c r="E65" s="942" t="s">
        <v>712</v>
      </c>
      <c r="F65" s="330">
        <f t="shared" ca="1" si="0"/>
        <v>1E-3</v>
      </c>
      <c r="I65" s="1454" t="s">
        <v>867</v>
      </c>
      <c r="J65" s="1455">
        <v>40</v>
      </c>
      <c r="K65" s="1455">
        <v>30</v>
      </c>
      <c r="L65" s="1455">
        <v>50</v>
      </c>
      <c r="M65" s="1457">
        <v>0.02</v>
      </c>
      <c r="O65" s="1410" t="s">
        <v>403</v>
      </c>
      <c r="P65" s="1411" t="s">
        <v>868</v>
      </c>
      <c r="Q65" s="1412">
        <f ca="1">C40+J29</f>
        <v>5843492</v>
      </c>
      <c r="R65" s="1412" t="s">
        <v>818</v>
      </c>
    </row>
    <row r="66" spans="1:18" s="1376" customFormat="1" ht="16.5" thickBot="1">
      <c r="A66" s="974" t="s">
        <v>793</v>
      </c>
      <c r="B66" s="942" t="s">
        <v>728</v>
      </c>
      <c r="C66" s="21">
        <f ca="1">ROUND(C48*F66,0)</f>
        <v>0</v>
      </c>
      <c r="D66" s="956" t="s">
        <v>794</v>
      </c>
      <c r="E66" s="942" t="s">
        <v>712</v>
      </c>
      <c r="F66" s="312">
        <f t="shared" ca="1" si="0"/>
        <v>5.0000000000000001E-3</v>
      </c>
      <c r="O66" s="1410" t="s">
        <v>404</v>
      </c>
      <c r="P66" s="1411" t="s">
        <v>846</v>
      </c>
      <c r="Q66" s="1412">
        <f ca="1">L60</f>
        <v>0</v>
      </c>
      <c r="R66" s="1412" t="s">
        <v>869</v>
      </c>
    </row>
    <row r="67" spans="1:18" s="1376" customFormat="1" ht="16.5" thickBot="1">
      <c r="A67" s="949" t="s">
        <v>394</v>
      </c>
      <c r="B67" s="959" t="s">
        <v>752</v>
      </c>
      <c r="C67" s="316">
        <f ca="1">C48-C58</f>
        <v>-13232</v>
      </c>
      <c r="D67" s="955" t="s">
        <v>753</v>
      </c>
      <c r="E67" s="960"/>
      <c r="F67" s="961"/>
      <c r="O67" s="1420" t="s">
        <v>405</v>
      </c>
      <c r="P67" s="1411" t="s">
        <v>850</v>
      </c>
      <c r="Q67" s="1458">
        <f ca="1">L51</f>
        <v>5112756</v>
      </c>
      <c r="R67" s="1412" t="s">
        <v>870</v>
      </c>
    </row>
    <row r="68" spans="1:18" s="1376" customFormat="1" ht="16.5" thickBot="1">
      <c r="A68" s="939" t="s">
        <v>395</v>
      </c>
      <c r="B68" s="940" t="s">
        <v>774</v>
      </c>
      <c r="C68" s="301">
        <f ca="1">ROUND(C67*(1-((1+F70)/(1+F68))^F69)/(F68-F70),0)</f>
        <v>-184204</v>
      </c>
      <c r="D68" s="957" t="s">
        <v>758</v>
      </c>
      <c r="E68" s="942" t="s">
        <v>759</v>
      </c>
      <c r="F68" s="312">
        <f ca="1">F40</f>
        <v>0.06</v>
      </c>
      <c r="O68" s="1420" t="s">
        <v>406</v>
      </c>
      <c r="P68" s="1459" t="s">
        <v>871</v>
      </c>
      <c r="Q68" s="1412">
        <f ca="1">ROUND(Q69-Q70*Q71,0)</f>
        <v>272527</v>
      </c>
      <c r="R68" s="1412" t="s">
        <v>414</v>
      </c>
    </row>
    <row r="69" spans="1:18" s="1376" customFormat="1" ht="13.5" thickBot="1">
      <c r="A69" s="943"/>
      <c r="B69" s="944"/>
      <c r="C69" s="306"/>
      <c r="D69" s="962" t="s">
        <v>762</v>
      </c>
      <c r="E69" s="942" t="s">
        <v>763</v>
      </c>
      <c r="F69" s="333">
        <f ca="1">F41</f>
        <v>30.95</v>
      </c>
      <c r="O69" s="1420" t="s">
        <v>411</v>
      </c>
      <c r="P69" s="1459" t="s">
        <v>872</v>
      </c>
      <c r="Q69" s="1412">
        <f ca="1">C39</f>
        <v>419758</v>
      </c>
      <c r="R69" s="1412" t="s">
        <v>818</v>
      </c>
    </row>
    <row r="70" spans="1:18" s="1376" customFormat="1" ht="13.5" thickBot="1">
      <c r="A70" s="946"/>
      <c r="B70" s="947"/>
      <c r="C70" s="310"/>
      <c r="D70" s="958"/>
      <c r="E70" s="942" t="s">
        <v>766</v>
      </c>
      <c r="F70" s="1046"/>
      <c r="O70" s="1420" t="s">
        <v>412</v>
      </c>
      <c r="P70" s="1459" t="s">
        <v>873</v>
      </c>
      <c r="Q70" s="1412">
        <f ca="1">C13</f>
        <v>2103294</v>
      </c>
      <c r="R70" s="1412" t="s">
        <v>818</v>
      </c>
    </row>
    <row r="71" spans="1:18" s="1376" customFormat="1" ht="13.5" thickBot="1">
      <c r="A71" s="963" t="s">
        <v>396</v>
      </c>
      <c r="B71" s="964" t="s">
        <v>776</v>
      </c>
      <c r="C71" s="336">
        <f ca="1">ROUND(C68/F71,0)</f>
        <v>-754</v>
      </c>
      <c r="D71" s="965" t="s">
        <v>777</v>
      </c>
      <c r="E71" s="966" t="s">
        <v>778</v>
      </c>
      <c r="F71" s="339">
        <f ca="1">F43</f>
        <v>244.44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147231</v>
      </c>
      <c r="D75" s="1376"/>
      <c r="E75" s="1376"/>
      <c r="F75" s="1376"/>
      <c r="K75" s="1394"/>
      <c r="L75" s="1376"/>
      <c r="O75" s="1410" t="s">
        <v>409</v>
      </c>
      <c r="P75" s="1411" t="s">
        <v>838</v>
      </c>
      <c r="Q75" s="1412">
        <f ca="1">Q65+Q66</f>
        <v>5843492</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0.64900000000000002</v>
      </c>
    </row>
    <row r="80" spans="1:18">
      <c r="B80" s="340" t="s">
        <v>800</v>
      </c>
      <c r="C80" s="274">
        <f ca="1">ROUND(C75/C39,3)</f>
        <v>0.35099999999999998</v>
      </c>
    </row>
    <row r="81" spans="2:3">
      <c r="B81" s="270" t="s">
        <v>801</v>
      </c>
      <c r="C81" s="238"/>
    </row>
    <row r="82" spans="2:3">
      <c r="B82" s="273" t="s">
        <v>802</v>
      </c>
      <c r="C82" s="275">
        <f ca="1">1-C83</f>
        <v>0.64</v>
      </c>
    </row>
    <row r="83" spans="2:3">
      <c r="B83" s="273" t="s">
        <v>803</v>
      </c>
      <c r="C83" s="274">
        <f ca="1">ROUND(C13/C40,3)</f>
        <v>0.36</v>
      </c>
    </row>
  </sheetData>
  <sheetProtection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估价对象为北京市昌平区英才南一街15号院1号楼等13栋部分用房房地产，为所有。根据《国有土地使用证》[]，估价对象（分摊）出让国有建设用地使用权面积为0平方米，建筑面积为1365.98平方米。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1365.98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2024年1月29日（评估专业人员实地查勘之日）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5" activePane="bottomLeft" state="frozen"/>
      <selection activeCell="C50" sqref="C50"/>
      <selection pane="bottomLeft" activeCell="A23" sqref="A23:S74"/>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4" t="s">
        <v>2084</v>
      </c>
      <c r="D1" s="3895"/>
      <c r="E1" s="3895"/>
      <c r="F1" s="3895"/>
      <c r="G1" s="3895"/>
      <c r="H1" s="3895"/>
      <c r="I1" s="3895"/>
      <c r="J1" s="3895"/>
      <c r="K1" s="3895"/>
      <c r="L1" s="3895"/>
      <c r="M1" s="3895"/>
      <c r="N1" s="3895"/>
      <c r="O1" s="3895"/>
      <c r="P1" s="3895"/>
      <c r="Q1" s="3895"/>
      <c r="R1" s="3895"/>
      <c r="S1" s="3896"/>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4244</v>
      </c>
      <c r="C5" s="987" t="s">
        <v>4245</v>
      </c>
      <c r="D5" s="988" t="s">
        <v>3507</v>
      </c>
      <c r="E5" s="988" t="s">
        <v>3511</v>
      </c>
      <c r="F5" s="1304" t="s">
        <v>3508</v>
      </c>
      <c r="G5" s="1304" t="s">
        <v>4246</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4247</v>
      </c>
      <c r="C7" s="896" t="s">
        <v>4229</v>
      </c>
      <c r="D7" s="890" t="s">
        <v>3403</v>
      </c>
      <c r="E7" s="890" t="s">
        <v>3419</v>
      </c>
      <c r="F7" s="1309" t="s">
        <v>4221</v>
      </c>
      <c r="G7" s="1309" t="s">
        <v>4230</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40121</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32799</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12232.38</v>
      </c>
      <c r="C22" s="3891" t="s">
        <v>27</v>
      </c>
      <c r="D22" s="3892"/>
      <c r="E22" s="3892"/>
      <c r="F22" s="3892"/>
      <c r="G22" s="3892"/>
      <c r="H22" s="3892"/>
      <c r="I22" s="3892"/>
      <c r="J22" s="3892"/>
      <c r="K22" s="3892"/>
      <c r="L22" s="3892"/>
      <c r="M22" s="3892"/>
      <c r="N22" s="3892"/>
      <c r="O22" s="3892"/>
      <c r="P22" s="3892"/>
      <c r="Q22" s="3893"/>
      <c r="R22" s="659">
        <f ca="1">ROUND(S22*10000/B22,0)</f>
        <v>32799</v>
      </c>
      <c r="S22" s="21">
        <f ca="1">SUM(S24:S10000)</f>
        <v>40121</v>
      </c>
      <c r="U22" s="720">
        <f>B22+典型户型修正办!B22</f>
        <v>104706.90999999992</v>
      </c>
      <c r="V22" s="720">
        <f ca="1">S22+典型户型修正办!S22</f>
        <v>252358</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t="s">
        <v>4430</v>
      </c>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'商办车库-新'!F219</f>
        <v>244.44</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40531</v>
      </c>
      <c r="S24" s="661">
        <f t="shared" ref="S24:S54" ca="1" si="12">ROUND(R24*B24/10000,0)</f>
        <v>991</v>
      </c>
      <c r="T24" s="725" t="str">
        <f>'商办车库-新'!H2</f>
        <v>商业</v>
      </c>
      <c r="U24" s="725" t="str">
        <f>'商办车库-新'!O20</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2795"/>
      <c r="E25" s="21">
        <f>(SUMIF($5:$5,D25,$6:$6)-SUMIF($5:$5,$D$24,$6:$6)+100)/100</f>
        <v>0.09</v>
      </c>
      <c r="F25" s="2795"/>
      <c r="G25" s="21">
        <f>(SUMIF($7:$7,F25,$8:$8)-SUMIF($7:$7,$F$24,$8:$8)+100)/100</f>
        <v>0.03</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IF(B25="",0,ROUND($R$24*C25*E25*G25*I25*K25*M25*O25*Q25,0))</f>
        <v>0</v>
      </c>
      <c r="S25" s="316">
        <f t="shared" si="12"/>
        <v>0</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4246</v>
      </c>
      <c r="E27" s="21">
        <f t="shared" si="14"/>
        <v>0.97</v>
      </c>
      <c r="F27" s="662" t="s">
        <v>4230</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17709</v>
      </c>
      <c r="S27" s="316">
        <f t="shared" ca="1" si="12"/>
        <v>545</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4246</v>
      </c>
      <c r="E28" s="21">
        <f t="shared" si="14"/>
        <v>0.97</v>
      </c>
      <c r="F28" s="662" t="s">
        <v>4221</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36587</v>
      </c>
      <c r="S28" s="316">
        <f t="shared" ca="1" si="12"/>
        <v>1465</v>
      </c>
      <c r="T28" s="720" t="str">
        <f>'商办车库-新'!H10</f>
        <v>商业</v>
      </c>
    </row>
    <row r="29" spans="1:45">
      <c r="A29" s="2408">
        <f>'商办车库-新'!E11</f>
        <v>102</v>
      </c>
      <c r="B29" s="2408">
        <f>'商办车库-新'!F11</f>
        <v>84.52</v>
      </c>
      <c r="C29" s="21">
        <f t="shared" si="13"/>
        <v>1.02</v>
      </c>
      <c r="D29" s="662" t="s">
        <v>4246</v>
      </c>
      <c r="E29" s="21">
        <f t="shared" si="14"/>
        <v>0.97</v>
      </c>
      <c r="F29" s="662" t="s">
        <v>4221</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37695</v>
      </c>
      <c r="S29" s="316">
        <f t="shared" ca="1" si="12"/>
        <v>319</v>
      </c>
      <c r="T29" s="720" t="str">
        <f>'商办车库-新'!H11</f>
        <v>商业</v>
      </c>
    </row>
    <row r="30" spans="1:45">
      <c r="A30" s="2408">
        <f>'商办车库-新'!E12</f>
        <v>103</v>
      </c>
      <c r="B30" s="2408">
        <f>'商办车库-新'!F12</f>
        <v>147.1</v>
      </c>
      <c r="C30" s="21">
        <f t="shared" si="13"/>
        <v>1.01</v>
      </c>
      <c r="D30" s="662" t="s">
        <v>4246</v>
      </c>
      <c r="E30" s="21">
        <f t="shared" si="14"/>
        <v>0.97</v>
      </c>
      <c r="F30" s="662" t="s">
        <v>4221</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37326</v>
      </c>
      <c r="S30" s="316">
        <f t="shared" ca="1" si="12"/>
        <v>549</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41747</v>
      </c>
      <c r="S32" s="316">
        <f t="shared" ca="1" si="12"/>
        <v>1048</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42164</v>
      </c>
      <c r="S33" s="316">
        <f t="shared" ca="1" si="12"/>
        <v>801</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30997</v>
      </c>
      <c r="S34" s="316">
        <f t="shared" ca="1" si="12"/>
        <v>1345</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30684</v>
      </c>
      <c r="S35" s="316">
        <f t="shared" ca="1" si="12"/>
        <v>2342</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c r="B37" s="54"/>
      <c r="C37" s="21">
        <f t="shared" si="13"/>
        <v>1</v>
      </c>
      <c r="D37" s="662"/>
      <c r="E37" s="21">
        <f t="shared" si="14"/>
        <v>0.09</v>
      </c>
      <c r="F37" s="662"/>
      <c r="G37" s="21">
        <f t="shared" si="15"/>
        <v>0.03</v>
      </c>
      <c r="H37" s="662"/>
      <c r="I37" s="21">
        <f t="shared" si="16"/>
        <v>1</v>
      </c>
      <c r="J37" s="662"/>
      <c r="K37" s="21">
        <f t="shared" si="17"/>
        <v>1</v>
      </c>
      <c r="L37" s="662"/>
      <c r="M37" s="21">
        <f t="shared" si="18"/>
        <v>1</v>
      </c>
      <c r="N37" s="662"/>
      <c r="O37" s="21">
        <f t="shared" si="19"/>
        <v>1</v>
      </c>
      <c r="P37" s="662">
        <v>-1</v>
      </c>
      <c r="Q37" s="21">
        <f t="shared" si="20"/>
        <v>0.5</v>
      </c>
      <c r="R37" s="659">
        <f t="shared" si="21"/>
        <v>0</v>
      </c>
      <c r="S37" s="316">
        <f t="shared" si="12"/>
        <v>0</v>
      </c>
    </row>
    <row r="38" spans="1:21">
      <c r="A38" s="2408"/>
      <c r="B38" s="54"/>
      <c r="C38" s="21">
        <f t="shared" si="13"/>
        <v>1</v>
      </c>
      <c r="D38" s="662"/>
      <c r="E38" s="21">
        <f t="shared" si="14"/>
        <v>0.09</v>
      </c>
      <c r="F38" s="662"/>
      <c r="G38" s="21">
        <f t="shared" si="15"/>
        <v>0.03</v>
      </c>
      <c r="H38" s="662"/>
      <c r="I38" s="21">
        <f t="shared" si="16"/>
        <v>1</v>
      </c>
      <c r="J38" s="662"/>
      <c r="K38" s="21">
        <f t="shared" si="17"/>
        <v>1</v>
      </c>
      <c r="L38" s="662"/>
      <c r="M38" s="21">
        <f t="shared" si="18"/>
        <v>1</v>
      </c>
      <c r="N38" s="662"/>
      <c r="O38" s="21">
        <f t="shared" si="19"/>
        <v>1</v>
      </c>
      <c r="P38" s="662">
        <v>-1</v>
      </c>
      <c r="Q38" s="21">
        <f t="shared" si="20"/>
        <v>0.5</v>
      </c>
      <c r="R38" s="659">
        <f t="shared" si="21"/>
        <v>0</v>
      </c>
      <c r="S38" s="316">
        <f t="shared" si="12"/>
        <v>0</v>
      </c>
    </row>
    <row r="39" spans="1:21">
      <c r="A39" s="2408"/>
      <c r="B39" s="54"/>
      <c r="C39" s="21">
        <f t="shared" si="13"/>
        <v>1</v>
      </c>
      <c r="D39" s="662"/>
      <c r="E39" s="21">
        <f t="shared" si="14"/>
        <v>0.09</v>
      </c>
      <c r="F39" s="662"/>
      <c r="G39" s="21">
        <f t="shared" si="15"/>
        <v>0.03</v>
      </c>
      <c r="H39" s="662"/>
      <c r="I39" s="21">
        <f t="shared" si="16"/>
        <v>1</v>
      </c>
      <c r="J39" s="662"/>
      <c r="K39" s="21">
        <f t="shared" si="17"/>
        <v>1</v>
      </c>
      <c r="L39" s="662"/>
      <c r="M39" s="21">
        <f t="shared" si="18"/>
        <v>1</v>
      </c>
      <c r="N39" s="662"/>
      <c r="O39" s="21">
        <f t="shared" si="19"/>
        <v>1</v>
      </c>
      <c r="P39" s="662">
        <v>-1</v>
      </c>
      <c r="Q39" s="21">
        <f t="shared" si="20"/>
        <v>0.5</v>
      </c>
      <c r="R39" s="659">
        <f t="shared" si="21"/>
        <v>0</v>
      </c>
      <c r="S39" s="316">
        <f t="shared" si="12"/>
        <v>0</v>
      </c>
    </row>
    <row r="40" spans="1:21">
      <c r="A40" s="2408"/>
      <c r="B40" s="54"/>
      <c r="C40" s="21">
        <f t="shared" si="13"/>
        <v>1</v>
      </c>
      <c r="D40" s="662"/>
      <c r="E40" s="21">
        <f t="shared" si="14"/>
        <v>0.09</v>
      </c>
      <c r="F40" s="662"/>
      <c r="G40" s="21">
        <f t="shared" si="15"/>
        <v>0.03</v>
      </c>
      <c r="H40" s="662"/>
      <c r="I40" s="21">
        <f t="shared" si="16"/>
        <v>1</v>
      </c>
      <c r="J40" s="662"/>
      <c r="K40" s="21">
        <f t="shared" si="17"/>
        <v>1</v>
      </c>
      <c r="L40" s="662"/>
      <c r="M40" s="21">
        <f t="shared" si="18"/>
        <v>1</v>
      </c>
      <c r="N40" s="662"/>
      <c r="O40" s="21">
        <f t="shared" si="19"/>
        <v>1</v>
      </c>
      <c r="P40" s="662">
        <v>-1</v>
      </c>
      <c r="Q40" s="21">
        <f t="shared" si="20"/>
        <v>0.5</v>
      </c>
      <c r="R40" s="659">
        <f t="shared" si="21"/>
        <v>0</v>
      </c>
      <c r="S40" s="316">
        <f t="shared" si="12"/>
        <v>0</v>
      </c>
    </row>
    <row r="41" spans="1:21">
      <c r="A41" s="2408"/>
      <c r="B41" s="54"/>
      <c r="C41" s="21">
        <f t="shared" si="13"/>
        <v>1</v>
      </c>
      <c r="D41" s="662"/>
      <c r="E41" s="21">
        <f t="shared" si="14"/>
        <v>0.09</v>
      </c>
      <c r="F41" s="662"/>
      <c r="G41" s="21">
        <f t="shared" si="15"/>
        <v>0.03</v>
      </c>
      <c r="H41" s="662"/>
      <c r="I41" s="21">
        <f t="shared" si="16"/>
        <v>1</v>
      </c>
      <c r="J41" s="662"/>
      <c r="K41" s="21">
        <f t="shared" si="17"/>
        <v>1</v>
      </c>
      <c r="L41" s="662"/>
      <c r="M41" s="21">
        <f t="shared" si="18"/>
        <v>1</v>
      </c>
      <c r="N41" s="662"/>
      <c r="O41" s="21">
        <f t="shared" si="19"/>
        <v>1</v>
      </c>
      <c r="P41" s="662">
        <v>-1</v>
      </c>
      <c r="Q41" s="21">
        <f t="shared" si="20"/>
        <v>0.5</v>
      </c>
      <c r="R41" s="659">
        <f t="shared" si="21"/>
        <v>0</v>
      </c>
      <c r="S41" s="316">
        <f t="shared" si="12"/>
        <v>0</v>
      </c>
    </row>
    <row r="42" spans="1:21">
      <c r="A42" s="2408"/>
      <c r="B42" s="54"/>
      <c r="C42" s="21">
        <f t="shared" si="13"/>
        <v>1</v>
      </c>
      <c r="D42" s="662"/>
      <c r="E42" s="21">
        <f t="shared" si="14"/>
        <v>0.09</v>
      </c>
      <c r="F42" s="662"/>
      <c r="G42" s="21">
        <f t="shared" si="15"/>
        <v>0.03</v>
      </c>
      <c r="H42" s="662"/>
      <c r="I42" s="21">
        <f t="shared" si="16"/>
        <v>1</v>
      </c>
      <c r="J42" s="662"/>
      <c r="K42" s="21">
        <f t="shared" si="17"/>
        <v>1</v>
      </c>
      <c r="L42" s="662"/>
      <c r="M42" s="21">
        <f t="shared" si="18"/>
        <v>1</v>
      </c>
      <c r="N42" s="662"/>
      <c r="O42" s="21">
        <f t="shared" si="19"/>
        <v>1</v>
      </c>
      <c r="P42" s="662">
        <v>-1</v>
      </c>
      <c r="Q42" s="21">
        <f t="shared" si="20"/>
        <v>0.5</v>
      </c>
      <c r="R42" s="659">
        <f t="shared" si="21"/>
        <v>0</v>
      </c>
      <c r="S42" s="316">
        <f t="shared" si="12"/>
        <v>0</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3623">
        <f>'商办车库-新'!E219</f>
        <v>101</v>
      </c>
      <c r="B44" s="3623"/>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si="21"/>
        <v>0</v>
      </c>
      <c r="S44" s="316">
        <f t="shared" si="12"/>
        <v>0</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40936</v>
      </c>
      <c r="S45" s="316">
        <f t="shared" ca="1" si="12"/>
        <v>590</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40531</v>
      </c>
      <c r="S46" s="316">
        <f t="shared" ca="1" si="12"/>
        <v>1068</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29790</v>
      </c>
      <c r="S47" s="316">
        <f t="shared" ca="1" si="12"/>
        <v>2328</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42164</v>
      </c>
      <c r="S49" s="316">
        <f t="shared" ca="1" si="12"/>
        <v>525</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42164</v>
      </c>
      <c r="S50" s="316">
        <f t="shared" ca="1" si="12"/>
        <v>685</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41329</v>
      </c>
      <c r="S51" s="316">
        <f t="shared" ca="1" si="12"/>
        <v>1481</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41329</v>
      </c>
      <c r="S52" s="316">
        <f t="shared" ca="1" si="12"/>
        <v>2006</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42164</v>
      </c>
      <c r="S53" s="316">
        <f t="shared" ca="1" si="12"/>
        <v>627</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41329</v>
      </c>
      <c r="S54" s="316">
        <f t="shared" ca="1" si="12"/>
        <v>1493</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41329</v>
      </c>
      <c r="S55" s="316">
        <f t="shared" ref="S55:S77" ca="1" si="22">ROUND(R55*B55/10000,0)</f>
        <v>1936</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31623</v>
      </c>
      <c r="S56" s="316">
        <f t="shared" ca="1" si="22"/>
        <v>452</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30371</v>
      </c>
      <c r="S57" s="316">
        <f t="shared" ca="1" si="22"/>
        <v>4869</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30371</v>
      </c>
      <c r="S58" s="316">
        <f t="shared" ca="1" si="22"/>
        <v>3873</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4246</v>
      </c>
      <c r="E60" s="21">
        <f t="shared" si="14"/>
        <v>0.97</v>
      </c>
      <c r="F60" s="662" t="s">
        <v>4221</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18663</v>
      </c>
      <c r="S60" s="316">
        <f t="shared" ca="1" si="22"/>
        <v>194</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4246</v>
      </c>
      <c r="E61" s="21">
        <f t="shared" si="14"/>
        <v>0.97</v>
      </c>
      <c r="F61" s="662" t="s">
        <v>4221</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18663</v>
      </c>
      <c r="S61" s="316">
        <f t="shared" ca="1" si="22"/>
        <v>301</v>
      </c>
      <c r="T61" s="720" t="str">
        <f>'商办车库-新'!H268</f>
        <v>商业</v>
      </c>
    </row>
    <row r="62" spans="1:21">
      <c r="A62" s="2408">
        <f>'商办车库-新'!E269</f>
        <v>-103</v>
      </c>
      <c r="B62" s="2408">
        <f>'商办车库-新'!F269</f>
        <v>166.84</v>
      </c>
      <c r="C62" s="21">
        <f t="shared" si="13"/>
        <v>1.01</v>
      </c>
      <c r="D62" s="662" t="s">
        <v>4246</v>
      </c>
      <c r="E62" s="21">
        <f t="shared" si="14"/>
        <v>0.97</v>
      </c>
      <c r="F62" s="662" t="s">
        <v>4221</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18663</v>
      </c>
      <c r="S62" s="316">
        <f t="shared" ca="1" si="22"/>
        <v>311</v>
      </c>
      <c r="T62" s="720" t="str">
        <f>'商办车库-新'!H269</f>
        <v>商业</v>
      </c>
    </row>
    <row r="63" spans="1:21">
      <c r="A63" s="2408">
        <f>'商办车库-新'!E270</f>
        <v>-104</v>
      </c>
      <c r="B63" s="2408">
        <f>'商办车库-新'!F270</f>
        <v>209.67</v>
      </c>
      <c r="C63" s="21">
        <f t="shared" si="13"/>
        <v>1</v>
      </c>
      <c r="D63" s="662" t="s">
        <v>4246</v>
      </c>
      <c r="E63" s="21">
        <f t="shared" si="14"/>
        <v>0.97</v>
      </c>
      <c r="F63" s="662" t="s">
        <v>4221</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18478</v>
      </c>
      <c r="S63" s="316">
        <f t="shared" ca="1" si="22"/>
        <v>387</v>
      </c>
      <c r="T63" s="720" t="str">
        <f>'商办车库-新'!H270</f>
        <v>商业</v>
      </c>
    </row>
    <row r="64" spans="1:21">
      <c r="A64" s="2408">
        <f>'商办车库-新'!E271</f>
        <v>-105</v>
      </c>
      <c r="B64" s="2408">
        <f>'商办车库-新'!F271</f>
        <v>509.5</v>
      </c>
      <c r="C64" s="21">
        <f t="shared" si="13"/>
        <v>0.98</v>
      </c>
      <c r="D64" s="662" t="s">
        <v>4246</v>
      </c>
      <c r="E64" s="21">
        <f t="shared" si="14"/>
        <v>0.97</v>
      </c>
      <c r="F64" s="662" t="s">
        <v>4221</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18109</v>
      </c>
      <c r="S64" s="316">
        <f t="shared" ca="1" si="22"/>
        <v>923</v>
      </c>
      <c r="T64" s="720" t="str">
        <f>'商办车库-新'!H271</f>
        <v>商业</v>
      </c>
    </row>
    <row r="65" spans="1:21">
      <c r="A65" s="2408">
        <f>'商办车库-新'!E272</f>
        <v>-106</v>
      </c>
      <c r="B65" s="2408">
        <f>'商办车库-新'!F272</f>
        <v>185.51</v>
      </c>
      <c r="C65" s="21">
        <f t="shared" si="13"/>
        <v>1.01</v>
      </c>
      <c r="D65" s="662" t="s">
        <v>4246</v>
      </c>
      <c r="E65" s="21">
        <f t="shared" si="14"/>
        <v>0.97</v>
      </c>
      <c r="F65" s="662" t="s">
        <v>4221</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18663</v>
      </c>
      <c r="S65" s="316">
        <f t="shared" ca="1" si="22"/>
        <v>346</v>
      </c>
      <c r="T65" s="720" t="str">
        <f>'商办车库-新'!H272</f>
        <v>商业</v>
      </c>
    </row>
    <row r="66" spans="1:21">
      <c r="A66" s="2408">
        <f>'商办车库-新'!E273</f>
        <v>-107</v>
      </c>
      <c r="B66" s="2408">
        <f>'商办车库-新'!F273</f>
        <v>243.06</v>
      </c>
      <c r="C66" s="21">
        <f t="shared" si="13"/>
        <v>1</v>
      </c>
      <c r="D66" s="662" t="s">
        <v>4246</v>
      </c>
      <c r="E66" s="21">
        <f t="shared" si="14"/>
        <v>0.97</v>
      </c>
      <c r="F66" s="662" t="s">
        <v>4221</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18478</v>
      </c>
      <c r="S66" s="316">
        <f t="shared" ca="1" si="22"/>
        <v>449</v>
      </c>
      <c r="T66" s="720" t="str">
        <f>'商办车库-新'!H273</f>
        <v>商业</v>
      </c>
    </row>
    <row r="67" spans="1:21">
      <c r="A67" s="2408">
        <f>'商办车库-新'!E274</f>
        <v>101</v>
      </c>
      <c r="B67" s="2408">
        <f>'商办车库-新'!F274</f>
        <v>327.32</v>
      </c>
      <c r="C67" s="21">
        <f t="shared" si="13"/>
        <v>0.99</v>
      </c>
      <c r="D67" s="662" t="s">
        <v>4246</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37754</v>
      </c>
      <c r="S67" s="316">
        <f t="shared" ca="1" si="22"/>
        <v>1236</v>
      </c>
      <c r="T67" s="720" t="str">
        <f>'商办车库-新'!H274</f>
        <v>商业</v>
      </c>
    </row>
    <row r="68" spans="1:21">
      <c r="A68" s="2408">
        <f>'商办车库-新'!E275</f>
        <v>102</v>
      </c>
      <c r="B68" s="2408">
        <f>'商办车库-新'!F275</f>
        <v>138.91999999999999</v>
      </c>
      <c r="C68" s="21">
        <f t="shared" si="13"/>
        <v>1.01</v>
      </c>
      <c r="D68" s="662" t="s">
        <v>4246</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38517</v>
      </c>
      <c r="S68" s="316">
        <f t="shared" ca="1" si="22"/>
        <v>535</v>
      </c>
      <c r="T68" s="720" t="str">
        <f>'商办车库-新'!H275</f>
        <v>商业</v>
      </c>
    </row>
    <row r="69" spans="1:21">
      <c r="A69" s="2408">
        <f>'商办车库-新'!E276</f>
        <v>103</v>
      </c>
      <c r="B69" s="2408">
        <f>'商办车库-新'!F276</f>
        <v>329.32</v>
      </c>
      <c r="C69" s="21">
        <f t="shared" si="13"/>
        <v>0.99</v>
      </c>
      <c r="D69" s="662" t="s">
        <v>4246</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37754</v>
      </c>
      <c r="S69" s="316">
        <f t="shared" ca="1" si="22"/>
        <v>1243</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40531</v>
      </c>
      <c r="S71" s="316">
        <f t="shared" ca="1" si="22"/>
        <v>841</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39720</v>
      </c>
      <c r="S72" s="316">
        <f t="shared" ca="1" si="22"/>
        <v>2017</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c r="B74" s="2408"/>
      <c r="C74" s="21">
        <f t="shared" si="13"/>
        <v>1</v>
      </c>
      <c r="D74" s="662"/>
      <c r="E74" s="21">
        <f t="shared" si="14"/>
        <v>0.09</v>
      </c>
      <c r="F74" s="662"/>
      <c r="G74" s="21">
        <f t="shared" si="15"/>
        <v>0.03</v>
      </c>
      <c r="H74" s="662"/>
      <c r="I74" s="21">
        <f t="shared" si="16"/>
        <v>1</v>
      </c>
      <c r="J74" s="662"/>
      <c r="K74" s="21">
        <f t="shared" si="17"/>
        <v>1</v>
      </c>
      <c r="L74" s="662"/>
      <c r="M74" s="21">
        <f t="shared" si="18"/>
        <v>1</v>
      </c>
      <c r="N74" s="662"/>
      <c r="O74" s="21">
        <f t="shared" si="19"/>
        <v>1</v>
      </c>
      <c r="P74" s="662">
        <v>-1</v>
      </c>
      <c r="Q74" s="21">
        <f t="shared" si="20"/>
        <v>0.5</v>
      </c>
      <c r="R74" s="659">
        <f t="shared" si="21"/>
        <v>0</v>
      </c>
      <c r="S74" s="316">
        <f t="shared" si="22"/>
        <v>0</v>
      </c>
    </row>
    <row r="75" spans="1:21">
      <c r="A75" s="2408"/>
      <c r="B75" s="2408"/>
      <c r="C75" s="21">
        <f t="shared" si="13"/>
        <v>1</v>
      </c>
      <c r="D75" s="662"/>
      <c r="E75" s="21">
        <f t="shared" si="14"/>
        <v>0.09</v>
      </c>
      <c r="F75" s="662"/>
      <c r="G75" s="21">
        <f t="shared" si="15"/>
        <v>0.03</v>
      </c>
      <c r="H75" s="662"/>
      <c r="I75" s="21">
        <f t="shared" si="16"/>
        <v>1</v>
      </c>
      <c r="J75" s="662"/>
      <c r="K75" s="21">
        <f t="shared" si="17"/>
        <v>1</v>
      </c>
      <c r="L75" s="662"/>
      <c r="M75" s="21">
        <f t="shared" si="18"/>
        <v>1</v>
      </c>
      <c r="N75" s="662"/>
      <c r="O75" s="21">
        <f t="shared" si="19"/>
        <v>1</v>
      </c>
      <c r="P75" s="662">
        <v>-1</v>
      </c>
      <c r="Q75" s="21">
        <f t="shared" si="20"/>
        <v>0.5</v>
      </c>
      <c r="R75" s="659">
        <f t="shared" si="21"/>
        <v>0</v>
      </c>
      <c r="S75" s="316">
        <f t="shared" si="22"/>
        <v>0</v>
      </c>
    </row>
    <row r="76" spans="1:21">
      <c r="A76" s="2408"/>
      <c r="B76" s="2408"/>
      <c r="C76" s="21">
        <f t="shared" si="13"/>
        <v>1</v>
      </c>
      <c r="D76" s="662"/>
      <c r="E76" s="21">
        <f t="shared" si="14"/>
        <v>0.09</v>
      </c>
      <c r="F76" s="662"/>
      <c r="G76" s="21">
        <f t="shared" si="15"/>
        <v>0.03</v>
      </c>
      <c r="H76" s="662"/>
      <c r="I76" s="21">
        <f t="shared" si="16"/>
        <v>1</v>
      </c>
      <c r="J76" s="662"/>
      <c r="K76" s="21">
        <f t="shared" si="17"/>
        <v>1</v>
      </c>
      <c r="L76" s="662"/>
      <c r="M76" s="21">
        <f t="shared" si="18"/>
        <v>1</v>
      </c>
      <c r="N76" s="662"/>
      <c r="O76" s="21">
        <f t="shared" si="19"/>
        <v>1</v>
      </c>
      <c r="P76" s="662">
        <v>-1</v>
      </c>
      <c r="Q76" s="21">
        <f t="shared" si="20"/>
        <v>0.5</v>
      </c>
      <c r="R76" s="659">
        <f t="shared" si="21"/>
        <v>0</v>
      </c>
      <c r="S76" s="316">
        <f t="shared" si="22"/>
        <v>0</v>
      </c>
    </row>
    <row r="77" spans="1:21">
      <c r="A77" s="2408"/>
      <c r="B77" s="2408"/>
      <c r="C77" s="21">
        <f t="shared" si="13"/>
        <v>1</v>
      </c>
      <c r="D77" s="662"/>
      <c r="E77" s="21">
        <f t="shared" si="14"/>
        <v>0.09</v>
      </c>
      <c r="F77" s="662"/>
      <c r="G77" s="21">
        <f t="shared" si="15"/>
        <v>0.03</v>
      </c>
      <c r="H77" s="662"/>
      <c r="I77" s="21">
        <f t="shared" si="16"/>
        <v>1</v>
      </c>
      <c r="J77" s="662"/>
      <c r="K77" s="21">
        <f t="shared" si="17"/>
        <v>1</v>
      </c>
      <c r="L77" s="662"/>
      <c r="M77" s="21">
        <f t="shared" si="18"/>
        <v>1</v>
      </c>
      <c r="N77" s="662"/>
      <c r="O77" s="21">
        <f t="shared" si="19"/>
        <v>1</v>
      </c>
      <c r="P77" s="662">
        <v>-1</v>
      </c>
      <c r="Q77" s="21">
        <f t="shared" si="20"/>
        <v>0.5</v>
      </c>
      <c r="R77" s="659">
        <f t="shared" si="21"/>
        <v>0</v>
      </c>
      <c r="S77" s="316">
        <f t="shared" si="22"/>
        <v>0</v>
      </c>
    </row>
    <row r="78" spans="1:21">
      <c r="A78" s="2408"/>
      <c r="B78" s="2408"/>
      <c r="C78" s="21">
        <f t="shared" si="13"/>
        <v>1</v>
      </c>
      <c r="D78" s="662"/>
      <c r="E78" s="21">
        <f t="shared" si="14"/>
        <v>0.09</v>
      </c>
      <c r="F78" s="662"/>
      <c r="G78" s="21">
        <f t="shared" si="15"/>
        <v>0.03</v>
      </c>
      <c r="H78" s="662"/>
      <c r="I78" s="21">
        <f t="shared" si="16"/>
        <v>1</v>
      </c>
      <c r="J78" s="662"/>
      <c r="K78" s="21">
        <f t="shared" si="17"/>
        <v>1</v>
      </c>
      <c r="L78" s="662"/>
      <c r="M78" s="21">
        <f t="shared" si="18"/>
        <v>1</v>
      </c>
      <c r="N78" s="662"/>
      <c r="O78" s="21">
        <f t="shared" si="19"/>
        <v>1</v>
      </c>
      <c r="P78" s="662">
        <v>-1</v>
      </c>
      <c r="Q78" s="21">
        <f t="shared" si="20"/>
        <v>0.5</v>
      </c>
      <c r="R78" s="659">
        <f t="shared" si="21"/>
        <v>0</v>
      </c>
      <c r="S78" s="316">
        <f t="shared" ref="S78:S122" si="23">ROUND(R78*B78/10000,0)</f>
        <v>0</v>
      </c>
    </row>
    <row r="79" spans="1:21">
      <c r="A79" s="2408"/>
      <c r="B79" s="2408"/>
      <c r="C79" s="21">
        <f t="shared" si="13"/>
        <v>1</v>
      </c>
      <c r="D79" s="662"/>
      <c r="E79" s="21">
        <f t="shared" si="14"/>
        <v>0.09</v>
      </c>
      <c r="F79" s="662"/>
      <c r="G79" s="21">
        <f t="shared" si="15"/>
        <v>0.03</v>
      </c>
      <c r="H79" s="662"/>
      <c r="I79" s="21">
        <f t="shared" si="16"/>
        <v>1</v>
      </c>
      <c r="J79" s="662"/>
      <c r="K79" s="21">
        <f t="shared" si="17"/>
        <v>1</v>
      </c>
      <c r="L79" s="662"/>
      <c r="M79" s="21">
        <f t="shared" si="18"/>
        <v>1</v>
      </c>
      <c r="N79" s="662"/>
      <c r="O79" s="21">
        <f t="shared" si="19"/>
        <v>1</v>
      </c>
      <c r="P79" s="662">
        <v>-1</v>
      </c>
      <c r="Q79" s="21">
        <f t="shared" si="20"/>
        <v>0.5</v>
      </c>
      <c r="R79" s="659">
        <f t="shared" si="21"/>
        <v>0</v>
      </c>
      <c r="S79" s="316">
        <f t="shared" si="23"/>
        <v>0</v>
      </c>
    </row>
    <row r="80" spans="1:21">
      <c r="A80" s="2408"/>
      <c r="B80" s="2408"/>
      <c r="C80" s="21">
        <f t="shared" si="13"/>
        <v>1</v>
      </c>
      <c r="D80" s="662"/>
      <c r="E80" s="21">
        <f t="shared" si="14"/>
        <v>0.09</v>
      </c>
      <c r="F80" s="662"/>
      <c r="G80" s="21">
        <f t="shared" si="15"/>
        <v>0.03</v>
      </c>
      <c r="H80" s="662"/>
      <c r="I80" s="21">
        <f t="shared" si="16"/>
        <v>1</v>
      </c>
      <c r="J80" s="662"/>
      <c r="K80" s="21">
        <f t="shared" si="17"/>
        <v>1</v>
      </c>
      <c r="L80" s="662"/>
      <c r="M80" s="21">
        <f t="shared" si="18"/>
        <v>1</v>
      </c>
      <c r="N80" s="662"/>
      <c r="O80" s="21">
        <f t="shared" si="19"/>
        <v>1</v>
      </c>
      <c r="P80" s="662">
        <v>-1</v>
      </c>
      <c r="Q80" s="21">
        <f t="shared" si="20"/>
        <v>0.5</v>
      </c>
      <c r="R80" s="659">
        <f t="shared" si="21"/>
        <v>0</v>
      </c>
      <c r="S80" s="316">
        <f t="shared" si="23"/>
        <v>0</v>
      </c>
    </row>
    <row r="81" spans="1:19">
      <c r="A81" s="2408"/>
      <c r="B81" s="2408"/>
      <c r="C81" s="21">
        <f t="shared" si="13"/>
        <v>1</v>
      </c>
      <c r="D81" s="662"/>
      <c r="E81" s="21">
        <f t="shared" si="14"/>
        <v>0.09</v>
      </c>
      <c r="F81" s="662"/>
      <c r="G81" s="21">
        <f t="shared" si="15"/>
        <v>0.03</v>
      </c>
      <c r="H81" s="662"/>
      <c r="I81" s="21">
        <f t="shared" si="16"/>
        <v>1</v>
      </c>
      <c r="J81" s="662"/>
      <c r="K81" s="21">
        <f t="shared" si="17"/>
        <v>1</v>
      </c>
      <c r="L81" s="662"/>
      <c r="M81" s="21">
        <f t="shared" si="18"/>
        <v>1</v>
      </c>
      <c r="N81" s="662"/>
      <c r="O81" s="21">
        <f t="shared" si="19"/>
        <v>1</v>
      </c>
      <c r="P81" s="662">
        <v>-1</v>
      </c>
      <c r="Q81" s="21">
        <f t="shared" si="20"/>
        <v>0.5</v>
      </c>
      <c r="R81" s="659">
        <f t="shared" si="21"/>
        <v>0</v>
      </c>
      <c r="S81" s="316">
        <f t="shared" si="23"/>
        <v>0</v>
      </c>
    </row>
    <row r="82" spans="1:19">
      <c r="A82" s="2408"/>
      <c r="B82" s="2408"/>
      <c r="C82" s="21">
        <f t="shared" si="13"/>
        <v>1</v>
      </c>
      <c r="D82" s="662"/>
      <c r="E82" s="21">
        <f t="shared" si="14"/>
        <v>0.09</v>
      </c>
      <c r="F82" s="662"/>
      <c r="G82" s="21">
        <f t="shared" si="15"/>
        <v>0.03</v>
      </c>
      <c r="H82" s="662"/>
      <c r="I82" s="21">
        <f t="shared" si="16"/>
        <v>1</v>
      </c>
      <c r="J82" s="662"/>
      <c r="K82" s="21">
        <f t="shared" si="17"/>
        <v>1</v>
      </c>
      <c r="L82" s="662"/>
      <c r="M82" s="21">
        <f t="shared" si="18"/>
        <v>1</v>
      </c>
      <c r="N82" s="662"/>
      <c r="O82" s="21">
        <f t="shared" si="19"/>
        <v>1</v>
      </c>
      <c r="P82" s="662">
        <v>-1</v>
      </c>
      <c r="Q82" s="21">
        <f t="shared" si="20"/>
        <v>0.5</v>
      </c>
      <c r="R82" s="659">
        <f t="shared" si="21"/>
        <v>0</v>
      </c>
      <c r="S82" s="316">
        <f t="shared" si="23"/>
        <v>0</v>
      </c>
    </row>
    <row r="83" spans="1:19">
      <c r="A83" s="2408"/>
      <c r="B83" s="2408"/>
      <c r="C83" s="21">
        <f t="shared" si="13"/>
        <v>1</v>
      </c>
      <c r="D83" s="662"/>
      <c r="E83" s="21">
        <f t="shared" si="14"/>
        <v>0.09</v>
      </c>
      <c r="F83" s="662"/>
      <c r="G83" s="21">
        <f t="shared" si="15"/>
        <v>0.03</v>
      </c>
      <c r="H83" s="662"/>
      <c r="I83" s="21">
        <f t="shared" si="16"/>
        <v>1</v>
      </c>
      <c r="J83" s="662"/>
      <c r="K83" s="21">
        <f t="shared" si="17"/>
        <v>1</v>
      </c>
      <c r="L83" s="662"/>
      <c r="M83" s="21">
        <f t="shared" si="18"/>
        <v>1</v>
      </c>
      <c r="N83" s="662"/>
      <c r="O83" s="21">
        <f t="shared" si="19"/>
        <v>1</v>
      </c>
      <c r="P83" s="662">
        <v>-1</v>
      </c>
      <c r="Q83" s="21">
        <f t="shared" si="20"/>
        <v>0.5</v>
      </c>
      <c r="R83" s="659">
        <f t="shared" si="21"/>
        <v>0</v>
      </c>
      <c r="S83" s="316">
        <f t="shared" si="23"/>
        <v>0</v>
      </c>
    </row>
    <row r="84" spans="1:19">
      <c r="A84" s="2408"/>
      <c r="B84" s="2408"/>
      <c r="C84" s="21">
        <f t="shared" si="13"/>
        <v>1</v>
      </c>
      <c r="D84" s="662"/>
      <c r="E84" s="21">
        <f t="shared" si="14"/>
        <v>0.09</v>
      </c>
      <c r="F84" s="662"/>
      <c r="G84" s="21">
        <f t="shared" si="15"/>
        <v>0.03</v>
      </c>
      <c r="H84" s="662"/>
      <c r="I84" s="21">
        <f t="shared" si="16"/>
        <v>1</v>
      </c>
      <c r="J84" s="662"/>
      <c r="K84" s="21">
        <f t="shared" si="17"/>
        <v>1</v>
      </c>
      <c r="L84" s="662"/>
      <c r="M84" s="21">
        <f t="shared" si="18"/>
        <v>1</v>
      </c>
      <c r="N84" s="662"/>
      <c r="O84" s="21">
        <f t="shared" si="19"/>
        <v>1</v>
      </c>
      <c r="P84" s="662">
        <v>-1</v>
      </c>
      <c r="Q84" s="21">
        <f t="shared" si="20"/>
        <v>0.5</v>
      </c>
      <c r="R84" s="659">
        <f t="shared" si="21"/>
        <v>0</v>
      </c>
      <c r="S84" s="316">
        <f t="shared" si="23"/>
        <v>0</v>
      </c>
    </row>
    <row r="85" spans="1:19">
      <c r="A85" s="2408"/>
      <c r="B85" s="2408"/>
      <c r="C85" s="21">
        <f t="shared" si="13"/>
        <v>1</v>
      </c>
      <c r="D85" s="662"/>
      <c r="E85" s="21">
        <f t="shared" si="14"/>
        <v>0.09</v>
      </c>
      <c r="F85" s="662"/>
      <c r="G85" s="21">
        <f t="shared" si="15"/>
        <v>0.03</v>
      </c>
      <c r="H85" s="662"/>
      <c r="I85" s="21">
        <f t="shared" si="16"/>
        <v>1</v>
      </c>
      <c r="J85" s="662"/>
      <c r="K85" s="21">
        <f t="shared" si="17"/>
        <v>1</v>
      </c>
      <c r="L85" s="662"/>
      <c r="M85" s="21">
        <f t="shared" si="18"/>
        <v>1</v>
      </c>
      <c r="N85" s="662"/>
      <c r="O85" s="21">
        <f t="shared" si="19"/>
        <v>1</v>
      </c>
      <c r="P85" s="662">
        <v>-1</v>
      </c>
      <c r="Q85" s="21">
        <f t="shared" si="20"/>
        <v>0.5</v>
      </c>
      <c r="R85" s="659">
        <f t="shared" si="21"/>
        <v>0</v>
      </c>
      <c r="S85" s="316">
        <f t="shared" si="23"/>
        <v>0</v>
      </c>
    </row>
    <row r="86" spans="1:19">
      <c r="A86" s="2408"/>
      <c r="B86" s="2408"/>
      <c r="C86" s="21">
        <f t="shared" si="13"/>
        <v>1</v>
      </c>
      <c r="D86" s="662"/>
      <c r="E86" s="21">
        <f t="shared" si="14"/>
        <v>0.09</v>
      </c>
      <c r="F86" s="662"/>
      <c r="G86" s="21">
        <f t="shared" si="15"/>
        <v>0.03</v>
      </c>
      <c r="H86" s="662"/>
      <c r="I86" s="21">
        <f t="shared" si="16"/>
        <v>1</v>
      </c>
      <c r="J86" s="662"/>
      <c r="K86" s="21">
        <f t="shared" si="17"/>
        <v>1</v>
      </c>
      <c r="L86" s="662"/>
      <c r="M86" s="21">
        <f t="shared" si="18"/>
        <v>1</v>
      </c>
      <c r="N86" s="662"/>
      <c r="O86" s="21">
        <f t="shared" si="19"/>
        <v>1</v>
      </c>
      <c r="P86" s="662">
        <v>-1</v>
      </c>
      <c r="Q86" s="21">
        <f t="shared" si="20"/>
        <v>0.5</v>
      </c>
      <c r="R86" s="659">
        <f t="shared" si="21"/>
        <v>0</v>
      </c>
      <c r="S86" s="316">
        <f t="shared" si="23"/>
        <v>0</v>
      </c>
    </row>
    <row r="87" spans="1:19">
      <c r="A87" s="2408"/>
      <c r="B87" s="2408"/>
      <c r="C87" s="21">
        <f t="shared" si="13"/>
        <v>1</v>
      </c>
      <c r="D87" s="662"/>
      <c r="E87" s="21">
        <f t="shared" si="14"/>
        <v>0.09</v>
      </c>
      <c r="F87" s="662"/>
      <c r="G87" s="21">
        <f t="shared" si="15"/>
        <v>0.03</v>
      </c>
      <c r="H87" s="662"/>
      <c r="I87" s="21">
        <f t="shared" si="16"/>
        <v>1</v>
      </c>
      <c r="J87" s="662"/>
      <c r="K87" s="21">
        <f t="shared" si="17"/>
        <v>1</v>
      </c>
      <c r="L87" s="662"/>
      <c r="M87" s="21">
        <f t="shared" si="18"/>
        <v>1</v>
      </c>
      <c r="N87" s="662"/>
      <c r="O87" s="21">
        <f t="shared" si="19"/>
        <v>1</v>
      </c>
      <c r="P87" s="662">
        <v>-1</v>
      </c>
      <c r="Q87" s="21">
        <f t="shared" si="20"/>
        <v>0.5</v>
      </c>
      <c r="R87" s="659">
        <f t="shared" si="21"/>
        <v>0</v>
      </c>
      <c r="S87" s="316">
        <f t="shared" si="23"/>
        <v>0</v>
      </c>
    </row>
    <row r="88" spans="1:19">
      <c r="A88" s="2408"/>
      <c r="B88" s="2408"/>
      <c r="C88" s="21">
        <f t="shared" si="13"/>
        <v>1</v>
      </c>
      <c r="D88" s="662"/>
      <c r="E88" s="21">
        <f t="shared" si="14"/>
        <v>0.09</v>
      </c>
      <c r="F88" s="662"/>
      <c r="G88" s="21">
        <f t="shared" si="15"/>
        <v>0.03</v>
      </c>
      <c r="H88" s="662"/>
      <c r="I88" s="21">
        <f t="shared" si="16"/>
        <v>1</v>
      </c>
      <c r="J88" s="662"/>
      <c r="K88" s="21">
        <f t="shared" si="17"/>
        <v>1</v>
      </c>
      <c r="L88" s="662"/>
      <c r="M88" s="21">
        <f t="shared" si="18"/>
        <v>1</v>
      </c>
      <c r="N88" s="662"/>
      <c r="O88" s="21">
        <f t="shared" si="19"/>
        <v>1</v>
      </c>
      <c r="P88" s="662">
        <v>-1</v>
      </c>
      <c r="Q88" s="21">
        <f t="shared" si="20"/>
        <v>0.5</v>
      </c>
      <c r="R88" s="659">
        <f t="shared" si="21"/>
        <v>0</v>
      </c>
      <c r="S88" s="316">
        <f t="shared" si="23"/>
        <v>0</v>
      </c>
    </row>
    <row r="89" spans="1:19">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19">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19">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19">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19">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19">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19">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19">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9"/>
  <sheetViews>
    <sheetView tabSelected="1" topLeftCell="B1" zoomScaleNormal="100" workbookViewId="0">
      <selection activeCell="O26" sqref="O26"/>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18" s="3472" customFormat="1" ht="26.25">
      <c r="A1" s="3465" t="s">
        <v>3437</v>
      </c>
      <c r="B1" s="3465" t="s">
        <v>3438</v>
      </c>
      <c r="C1" s="3465" t="s">
        <v>3439</v>
      </c>
      <c r="D1" s="3465" t="s">
        <v>4428</v>
      </c>
      <c r="E1" s="3465" t="s">
        <v>3441</v>
      </c>
      <c r="F1" s="3520" t="s">
        <v>4284</v>
      </c>
      <c r="G1" s="3466" t="s">
        <v>3443</v>
      </c>
      <c r="H1" s="3465" t="s">
        <v>4429</v>
      </c>
      <c r="I1" s="3547" t="s">
        <v>4248</v>
      </c>
    </row>
    <row r="2" spans="1:18" s="3529" customFormat="1" hidden="1">
      <c r="A2" s="3915">
        <v>1</v>
      </c>
      <c r="B2" s="3897" t="s">
        <v>3523</v>
      </c>
      <c r="C2" s="3897" t="s">
        <v>3524</v>
      </c>
      <c r="D2" s="3898" t="s">
        <v>3525</v>
      </c>
      <c r="E2" s="3530">
        <v>101</v>
      </c>
      <c r="F2" s="3528">
        <v>275.55</v>
      </c>
      <c r="G2" s="3528">
        <v>50.16</v>
      </c>
      <c r="H2" s="3531" t="s">
        <v>673</v>
      </c>
      <c r="I2" s="3548">
        <f ca="1">典型户型修正!S24</f>
        <v>991</v>
      </c>
    </row>
    <row r="3" spans="1:18" s="3472" customFormat="1" hidden="1">
      <c r="A3" s="3916"/>
      <c r="B3" s="3897"/>
      <c r="C3" s="3897"/>
      <c r="D3" s="3898"/>
      <c r="E3" s="3505">
        <v>102</v>
      </c>
      <c r="F3" s="3516">
        <v>369.34</v>
      </c>
      <c r="G3" s="3469">
        <v>67.23</v>
      </c>
      <c r="H3" s="3483" t="s">
        <v>673</v>
      </c>
      <c r="I3" s="3549">
        <f>典型户型修正!S25</f>
        <v>0</v>
      </c>
    </row>
    <row r="4" spans="1:18" s="3529" customFormat="1" hidden="1">
      <c r="A4" s="3916"/>
      <c r="B4" s="3897"/>
      <c r="C4" s="3897"/>
      <c r="D4" s="3898"/>
      <c r="E4" s="3505">
        <v>201</v>
      </c>
      <c r="F4" s="3516">
        <v>1146.95</v>
      </c>
      <c r="G4" s="3469">
        <v>208.77</v>
      </c>
      <c r="H4" s="3612" t="s">
        <v>21</v>
      </c>
      <c r="I4" s="3549">
        <f ca="1">典型户型修正办!S24</f>
        <v>2511</v>
      </c>
    </row>
    <row r="5" spans="1:18" s="3472" customFormat="1" hidden="1">
      <c r="A5" s="3916"/>
      <c r="B5" s="3897"/>
      <c r="C5" s="3897"/>
      <c r="D5" s="3898"/>
      <c r="E5" s="3505">
        <v>301</v>
      </c>
      <c r="F5" s="3516">
        <v>1117.0999999999999</v>
      </c>
      <c r="G5" s="3469">
        <v>203.34</v>
      </c>
      <c r="H5" s="3483" t="s">
        <v>21</v>
      </c>
      <c r="I5" s="3549">
        <f>典型户型修正办!S25</f>
        <v>0</v>
      </c>
    </row>
    <row r="6" spans="1:18" s="3472" customFormat="1" hidden="1">
      <c r="A6" s="3916"/>
      <c r="B6" s="3897"/>
      <c r="C6" s="3897"/>
      <c r="D6" s="3898"/>
      <c r="E6" s="3505">
        <v>401</v>
      </c>
      <c r="F6" s="3516">
        <v>1112.98</v>
      </c>
      <c r="G6" s="3469">
        <v>202.59</v>
      </c>
      <c r="H6" s="3483" t="s">
        <v>21</v>
      </c>
      <c r="I6" s="3549">
        <f>典型户型修正办!S26</f>
        <v>0</v>
      </c>
      <c r="M6" s="3526"/>
      <c r="N6" s="3527"/>
    </row>
    <row r="7" spans="1:18" s="3472" customFormat="1" hidden="1">
      <c r="A7" s="3917"/>
      <c r="B7" s="3897"/>
      <c r="C7" s="3897"/>
      <c r="D7" s="3898"/>
      <c r="E7" s="3505">
        <v>501</v>
      </c>
      <c r="F7" s="3516">
        <v>1946.09</v>
      </c>
      <c r="G7" s="3469">
        <v>354.23</v>
      </c>
      <c r="H7" s="3483" t="s">
        <v>21</v>
      </c>
      <c r="I7" s="3549">
        <f>典型户型修正办!S27</f>
        <v>0</v>
      </c>
      <c r="M7" s="3526"/>
      <c r="N7" s="3527"/>
    </row>
    <row r="8" spans="1:18" s="3472" customFormat="1" hidden="1">
      <c r="A8" s="3902" t="s">
        <v>3526</v>
      </c>
      <c r="B8" s="3902"/>
      <c r="C8" s="3902"/>
      <c r="D8" s="3902"/>
      <c r="E8" s="3902"/>
      <c r="F8" s="3520">
        <f>SUM(F2:F7)</f>
        <v>5968.01</v>
      </c>
      <c r="G8" s="3466">
        <f>SUM(G2:G7)</f>
        <v>1086.3200000000002</v>
      </c>
      <c r="H8" s="3506" t="s">
        <v>3527</v>
      </c>
      <c r="I8" s="3550">
        <f ca="1">SUM(I2:I7)</f>
        <v>3502</v>
      </c>
      <c r="M8" s="3526"/>
      <c r="N8" s="3527"/>
    </row>
    <row r="9" spans="1:18" s="3472" customFormat="1">
      <c r="A9" s="3915">
        <v>3</v>
      </c>
      <c r="B9" s="3897" t="s">
        <v>3528</v>
      </c>
      <c r="C9" s="3897" t="s">
        <v>3529</v>
      </c>
      <c r="D9" s="3908" t="s">
        <v>3450</v>
      </c>
      <c r="E9" s="3505">
        <v>-107</v>
      </c>
      <c r="F9" s="3516">
        <v>307.95</v>
      </c>
      <c r="G9" s="3469">
        <v>56.05</v>
      </c>
      <c r="H9" s="3483" t="s">
        <v>673</v>
      </c>
      <c r="I9" s="3549">
        <f ca="1">典型户型修正!S27</f>
        <v>545</v>
      </c>
      <c r="M9" s="3526"/>
      <c r="N9" s="3527"/>
    </row>
    <row r="10" spans="1:18" s="3472" customFormat="1">
      <c r="A10" s="3916"/>
      <c r="B10" s="3897"/>
      <c r="C10" s="3897"/>
      <c r="D10" s="3909"/>
      <c r="E10" s="3468">
        <v>101</v>
      </c>
      <c r="F10" s="3516">
        <v>400.49</v>
      </c>
      <c r="G10" s="3469">
        <v>72.900000000000006</v>
      </c>
      <c r="H10" s="3483" t="s">
        <v>673</v>
      </c>
      <c r="I10" s="3549">
        <f ca="1">典型户型修正!S28</f>
        <v>1465</v>
      </c>
      <c r="M10" s="3526"/>
      <c r="N10" s="3527"/>
    </row>
    <row r="11" spans="1:18" s="3472" customFormat="1">
      <c r="A11" s="3916"/>
      <c r="B11" s="3897"/>
      <c r="C11" s="3897"/>
      <c r="D11" s="3909"/>
      <c r="E11" s="3468">
        <v>102</v>
      </c>
      <c r="F11" s="3516">
        <v>84.52</v>
      </c>
      <c r="G11" s="3469">
        <v>15.38</v>
      </c>
      <c r="H11" s="3483" t="s">
        <v>673</v>
      </c>
      <c r="I11" s="3549">
        <f ca="1">典型户型修正!S29</f>
        <v>319</v>
      </c>
      <c r="M11" s="3526"/>
      <c r="N11" s="3527"/>
    </row>
    <row r="12" spans="1:18" s="3472" customFormat="1">
      <c r="A12" s="3917"/>
      <c r="B12" s="3897"/>
      <c r="C12" s="3897"/>
      <c r="D12" s="3919"/>
      <c r="E12" s="3468">
        <v>103</v>
      </c>
      <c r="F12" s="3516">
        <v>147.1</v>
      </c>
      <c r="G12" s="3469">
        <v>26.78</v>
      </c>
      <c r="H12" s="3483" t="s">
        <v>673</v>
      </c>
      <c r="I12" s="3549">
        <f ca="1">典型户型修正!S30</f>
        <v>549</v>
      </c>
    </row>
    <row r="13" spans="1:18" s="3472" customFormat="1" ht="14.25" thickBot="1">
      <c r="A13" s="3912" t="s">
        <v>3526</v>
      </c>
      <c r="B13" s="3913"/>
      <c r="C13" s="3913"/>
      <c r="D13" s="3913"/>
      <c r="E13" s="3914"/>
      <c r="F13" s="3520">
        <f>SUM(F9:F12)</f>
        <v>940.06000000000006</v>
      </c>
      <c r="G13" s="3466">
        <f>SUM(G9:G12)</f>
        <v>171.10999999999999</v>
      </c>
      <c r="H13" s="3506" t="s">
        <v>3527</v>
      </c>
      <c r="I13" s="3550">
        <f ca="1">SUM(I9:I12)</f>
        <v>2878</v>
      </c>
    </row>
    <row r="14" spans="1:18" s="3472" customFormat="1" ht="14.25" thickTop="1">
      <c r="A14" s="3915">
        <v>4</v>
      </c>
      <c r="B14" s="3897" t="s">
        <v>3530</v>
      </c>
      <c r="C14" s="3897" t="s">
        <v>3531</v>
      </c>
      <c r="D14" s="3898" t="s">
        <v>3532</v>
      </c>
      <c r="E14" s="3507" t="s">
        <v>3533</v>
      </c>
      <c r="F14" s="3521">
        <v>678.59</v>
      </c>
      <c r="G14" s="3471">
        <v>123.52</v>
      </c>
      <c r="H14" s="3612" t="s">
        <v>21</v>
      </c>
      <c r="I14" s="3549">
        <f ca="1">典型户型修正办!S29</f>
        <v>1534</v>
      </c>
      <c r="M14" s="3613" t="s">
        <v>3437</v>
      </c>
      <c r="N14" s="3614" t="s">
        <v>4253</v>
      </c>
      <c r="O14" s="3614" t="s">
        <v>4254</v>
      </c>
      <c r="P14" s="3614" t="s">
        <v>4427</v>
      </c>
      <c r="Q14" s="3614" t="s">
        <v>4255</v>
      </c>
      <c r="R14" s="3615" t="s">
        <v>4256</v>
      </c>
    </row>
    <row r="15" spans="1:18" s="3472" customFormat="1">
      <c r="A15" s="3916"/>
      <c r="B15" s="3897"/>
      <c r="C15" s="3897"/>
      <c r="D15" s="3898"/>
      <c r="E15" s="3507" t="s">
        <v>3534</v>
      </c>
      <c r="F15" s="3521">
        <v>678.47</v>
      </c>
      <c r="G15" s="3471">
        <v>123.5</v>
      </c>
      <c r="H15" s="3483" t="s">
        <v>21</v>
      </c>
      <c r="I15" s="3549">
        <f ca="1">典型户型修正办!S30</f>
        <v>1534</v>
      </c>
      <c r="M15" s="3617">
        <v>3</v>
      </c>
      <c r="N15" s="3618" t="s">
        <v>4261</v>
      </c>
      <c r="O15" s="3618" t="s">
        <v>4262</v>
      </c>
      <c r="P15" s="3618">
        <v>171.11</v>
      </c>
      <c r="Q15" s="3619">
        <f>F13</f>
        <v>940.06000000000006</v>
      </c>
      <c r="R15" s="4010">
        <f ca="1">I13</f>
        <v>2878</v>
      </c>
    </row>
    <row r="16" spans="1:18" s="3472" customFormat="1">
      <c r="A16" s="3916"/>
      <c r="B16" s="3897"/>
      <c r="C16" s="3897"/>
      <c r="D16" s="3898"/>
      <c r="E16" s="3507" t="s">
        <v>3535</v>
      </c>
      <c r="F16" s="3521">
        <v>725.7</v>
      </c>
      <c r="G16" s="3471">
        <v>132.1</v>
      </c>
      <c r="H16" s="3483" t="s">
        <v>21</v>
      </c>
      <c r="I16" s="3549">
        <f ca="1">典型户型修正办!S31</f>
        <v>1641</v>
      </c>
      <c r="M16" s="3617">
        <v>4</v>
      </c>
      <c r="N16" s="3618" t="s">
        <v>4263</v>
      </c>
      <c r="O16" s="3618" t="s">
        <v>4264</v>
      </c>
      <c r="P16" s="3618">
        <v>3216.9</v>
      </c>
      <c r="Q16" s="3619">
        <f>F37</f>
        <v>17672.920000000002</v>
      </c>
      <c r="R16" s="4010">
        <f ca="1">I37</f>
        <v>42578</v>
      </c>
    </row>
    <row r="17" spans="1:18" s="3472" customFormat="1">
      <c r="A17" s="3916"/>
      <c r="B17" s="3897"/>
      <c r="C17" s="3897"/>
      <c r="D17" s="3898"/>
      <c r="E17" s="3507" t="s">
        <v>3536</v>
      </c>
      <c r="F17" s="3521">
        <v>725.7</v>
      </c>
      <c r="G17" s="3471">
        <v>132.1</v>
      </c>
      <c r="H17" s="3483" t="s">
        <v>21</v>
      </c>
      <c r="I17" s="3549">
        <f ca="1">典型户型修正办!S32</f>
        <v>1641</v>
      </c>
      <c r="M17" s="3617">
        <v>7</v>
      </c>
      <c r="N17" s="3618" t="s">
        <v>4269</v>
      </c>
      <c r="O17" s="3618" t="s">
        <v>4270</v>
      </c>
      <c r="P17" s="3618">
        <v>1983.72</v>
      </c>
      <c r="Q17" s="3619">
        <f>F231</f>
        <v>12229.45</v>
      </c>
      <c r="R17" s="4010">
        <f ca="1">I231</f>
        <v>29418</v>
      </c>
    </row>
    <row r="18" spans="1:18" s="3472" customFormat="1">
      <c r="A18" s="3916"/>
      <c r="B18" s="3897"/>
      <c r="C18" s="3897"/>
      <c r="D18" s="3898"/>
      <c r="E18" s="3507" t="s">
        <v>3537</v>
      </c>
      <c r="F18" s="3521">
        <v>725.7</v>
      </c>
      <c r="G18" s="3471">
        <v>132.1</v>
      </c>
      <c r="H18" s="3483" t="s">
        <v>21</v>
      </c>
      <c r="I18" s="3549">
        <f ca="1">典型户型修正办!S33</f>
        <v>1641</v>
      </c>
      <c r="M18" s="3617">
        <v>8</v>
      </c>
      <c r="N18" s="3618" t="s">
        <v>4271</v>
      </c>
      <c r="O18" s="3618" t="s">
        <v>4272</v>
      </c>
      <c r="P18" s="3618">
        <v>7373.95</v>
      </c>
      <c r="Q18" s="3619">
        <f>F266</f>
        <v>45459.640000000007</v>
      </c>
      <c r="R18" s="4010">
        <f ca="1">I266</f>
        <v>110210</v>
      </c>
    </row>
    <row r="19" spans="1:18" s="3472" customFormat="1">
      <c r="A19" s="3916"/>
      <c r="B19" s="3897"/>
      <c r="C19" s="3897"/>
      <c r="D19" s="3898"/>
      <c r="E19" s="3507" t="s">
        <v>3538</v>
      </c>
      <c r="F19" s="3521">
        <v>725.7</v>
      </c>
      <c r="G19" s="3471">
        <v>132.1</v>
      </c>
      <c r="H19" s="3483" t="s">
        <v>21</v>
      </c>
      <c r="I19" s="3549">
        <f ca="1">典型户型修正办!S34</f>
        <v>1690</v>
      </c>
      <c r="M19" s="3617">
        <v>10</v>
      </c>
      <c r="N19" s="3618" t="s">
        <v>4275</v>
      </c>
      <c r="O19" s="3618" t="s">
        <v>4276</v>
      </c>
      <c r="P19" s="3618">
        <v>385.26</v>
      </c>
      <c r="Q19" s="3619">
        <f>F277</f>
        <v>2375.11</v>
      </c>
      <c r="R19" s="4010">
        <f ca="1">I277</f>
        <v>5925</v>
      </c>
    </row>
    <row r="20" spans="1:18" s="3472" customFormat="1">
      <c r="A20" s="3916"/>
      <c r="B20" s="3897"/>
      <c r="C20" s="3897"/>
      <c r="D20" s="3898"/>
      <c r="E20" s="3507" t="s">
        <v>3539</v>
      </c>
      <c r="F20" s="3521">
        <v>725.7</v>
      </c>
      <c r="G20" s="3471">
        <v>132.1</v>
      </c>
      <c r="H20" s="3483" t="s">
        <v>21</v>
      </c>
      <c r="I20" s="3549">
        <f ca="1">典型户型修正办!S35</f>
        <v>1690</v>
      </c>
      <c r="M20" s="3617">
        <v>12</v>
      </c>
      <c r="N20" s="3618" t="s">
        <v>4279</v>
      </c>
      <c r="O20" s="3618" t="s">
        <v>4280</v>
      </c>
      <c r="P20" s="3618">
        <v>4222.25</v>
      </c>
      <c r="Q20" s="3618">
        <v>26029.73</v>
      </c>
      <c r="R20" s="4010">
        <f ca="1">I297</f>
        <v>61349</v>
      </c>
    </row>
    <row r="21" spans="1:18" s="3472" customFormat="1" ht="14.25" thickBot="1">
      <c r="A21" s="3916"/>
      <c r="B21" s="3897"/>
      <c r="C21" s="3897"/>
      <c r="D21" s="3898"/>
      <c r="E21" s="3507" t="s">
        <v>3540</v>
      </c>
      <c r="F21" s="3521">
        <v>897.24</v>
      </c>
      <c r="G21" s="3471">
        <v>163.32</v>
      </c>
      <c r="H21" s="3483" t="s">
        <v>21</v>
      </c>
      <c r="I21" s="3549">
        <f ca="1">典型户型修正办!S36</f>
        <v>2029</v>
      </c>
      <c r="M21" s="3899" t="s">
        <v>3526</v>
      </c>
      <c r="N21" s="3900"/>
      <c r="O21" s="3901"/>
      <c r="P21" s="3616">
        <f>SUM(P15:P20)</f>
        <v>17353.190000000002</v>
      </c>
      <c r="Q21" s="3616">
        <f>SUM(Q15:Q20)</f>
        <v>104706.91</v>
      </c>
      <c r="R21" s="3616">
        <f ca="1">SUM(R15:R20)</f>
        <v>252358</v>
      </c>
    </row>
    <row r="22" spans="1:18" s="3472" customFormat="1" ht="14.25" thickTop="1">
      <c r="A22" s="3916"/>
      <c r="B22" s="3897"/>
      <c r="C22" s="3897"/>
      <c r="D22" s="3898"/>
      <c r="E22" s="3507" t="s">
        <v>3541</v>
      </c>
      <c r="F22" s="3521">
        <v>922.92</v>
      </c>
      <c r="G22" s="3471">
        <v>168</v>
      </c>
      <c r="H22" s="3483" t="s">
        <v>21</v>
      </c>
      <c r="I22" s="3549">
        <f ca="1">典型户型修正办!S37</f>
        <v>2087</v>
      </c>
      <c r="P22" s="3472">
        <f>SUM(P15,P16,P17,P18,P19,P20)</f>
        <v>17353.190000000002</v>
      </c>
      <c r="Q22" s="3472">
        <f>SUM(Q15,Q16,Q17,Q18,Q19,Q20)</f>
        <v>104706.91</v>
      </c>
      <c r="R22" s="3626">
        <f ca="1">SUM(R15,R16,R17,R18,R19,R20)</f>
        <v>252358</v>
      </c>
    </row>
    <row r="23" spans="1:18" s="3472" customFormat="1">
      <c r="A23" s="3916"/>
      <c r="B23" s="3897"/>
      <c r="C23" s="3897"/>
      <c r="D23" s="3898"/>
      <c r="E23" s="3507" t="s">
        <v>3542</v>
      </c>
      <c r="F23" s="3521">
        <v>922.92</v>
      </c>
      <c r="G23" s="3471">
        <v>167.99</v>
      </c>
      <c r="H23" s="3483" t="s">
        <v>21</v>
      </c>
      <c r="I23" s="3549">
        <f ca="1">典型户型修正办!S38</f>
        <v>2087</v>
      </c>
      <c r="P23" s="3611"/>
      <c r="Q23" s="3611"/>
      <c r="R23" s="3611"/>
    </row>
    <row r="24" spans="1:18" s="3472" customFormat="1">
      <c r="A24" s="3916"/>
      <c r="B24" s="3897"/>
      <c r="C24" s="3897"/>
      <c r="D24" s="3898"/>
      <c r="E24" s="3507" t="s">
        <v>3543</v>
      </c>
      <c r="F24" s="3521">
        <v>922.92</v>
      </c>
      <c r="G24" s="3471">
        <v>167.99</v>
      </c>
      <c r="H24" s="3483" t="s">
        <v>21</v>
      </c>
      <c r="I24" s="3549">
        <f ca="1">典型户型修正办!S39</f>
        <v>2087</v>
      </c>
      <c r="P24" s="3611"/>
      <c r="Q24" s="3611"/>
      <c r="R24" s="3611"/>
    </row>
    <row r="25" spans="1:18" s="3472" customFormat="1">
      <c r="A25" s="3916"/>
      <c r="B25" s="3897"/>
      <c r="C25" s="3897"/>
      <c r="D25" s="3898"/>
      <c r="E25" s="3507" t="s">
        <v>3544</v>
      </c>
      <c r="F25" s="3521">
        <v>922.92</v>
      </c>
      <c r="G25" s="3471">
        <v>167.99</v>
      </c>
      <c r="H25" s="3483" t="s">
        <v>21</v>
      </c>
      <c r="I25" s="3549">
        <f ca="1">典型户型修正办!S40</f>
        <v>2149</v>
      </c>
    </row>
    <row r="26" spans="1:18" s="3472" customFormat="1">
      <c r="A26" s="3916"/>
      <c r="B26" s="3897"/>
      <c r="C26" s="3897"/>
      <c r="D26" s="3898"/>
      <c r="E26" s="3507" t="s">
        <v>3545</v>
      </c>
      <c r="F26" s="3521">
        <v>922.92</v>
      </c>
      <c r="G26" s="3471">
        <v>167.99</v>
      </c>
      <c r="H26" s="3483" t="s">
        <v>21</v>
      </c>
      <c r="I26" s="3549">
        <f ca="1">典型户型修正办!S41</f>
        <v>2149</v>
      </c>
      <c r="Q26" s="3611"/>
    </row>
    <row r="27" spans="1:18" s="3472" customFormat="1">
      <c r="A27" s="3916"/>
      <c r="B27" s="3897"/>
      <c r="C27" s="3897"/>
      <c r="D27" s="3898"/>
      <c r="E27" s="3507" t="s">
        <v>3546</v>
      </c>
      <c r="F27" s="3521">
        <v>922.92</v>
      </c>
      <c r="G27" s="3471">
        <v>167.99</v>
      </c>
      <c r="H27" s="3483" t="s">
        <v>21</v>
      </c>
      <c r="I27" s="3549">
        <f ca="1">典型户型修正办!S42</f>
        <v>2149</v>
      </c>
      <c r="Q27" s="3611"/>
    </row>
    <row r="28" spans="1:18" s="3472" customFormat="1">
      <c r="A28" s="3916"/>
      <c r="B28" s="3897"/>
      <c r="C28" s="3897"/>
      <c r="D28" s="3898"/>
      <c r="E28" s="3507" t="s">
        <v>3547</v>
      </c>
      <c r="F28" s="3521">
        <v>922.92</v>
      </c>
      <c r="G28" s="3471">
        <v>167.99</v>
      </c>
      <c r="H28" s="3483" t="s">
        <v>21</v>
      </c>
      <c r="I28" s="3549">
        <f ca="1">典型户型修正办!S43</f>
        <v>2149</v>
      </c>
      <c r="Q28" s="3611"/>
    </row>
    <row r="29" spans="1:18" s="3472" customFormat="1">
      <c r="A29" s="3916"/>
      <c r="B29" s="3897"/>
      <c r="C29" s="3897"/>
      <c r="D29" s="3898"/>
      <c r="E29" s="3507" t="s">
        <v>3548</v>
      </c>
      <c r="F29" s="3521">
        <v>922.92</v>
      </c>
      <c r="G29" s="3471">
        <v>167.99</v>
      </c>
      <c r="H29" s="3483" t="s">
        <v>21</v>
      </c>
      <c r="I29" s="3549">
        <f ca="1">典型户型修正办!S44</f>
        <v>2149</v>
      </c>
    </row>
    <row r="30" spans="1:18" s="3472" customFormat="1">
      <c r="A30" s="3916"/>
      <c r="B30" s="3897"/>
      <c r="C30" s="3897"/>
      <c r="D30" s="3898"/>
      <c r="E30" s="3507" t="s">
        <v>3549</v>
      </c>
      <c r="F30" s="3521">
        <v>922.92</v>
      </c>
      <c r="G30" s="3471">
        <v>167.99</v>
      </c>
      <c r="H30" s="3483" t="s">
        <v>21</v>
      </c>
      <c r="I30" s="3549">
        <f ca="1">典型户型修正办!S45</f>
        <v>2212</v>
      </c>
    </row>
    <row r="31" spans="1:18" s="3472" customFormat="1">
      <c r="A31" s="3916"/>
      <c r="B31" s="3897"/>
      <c r="C31" s="3897"/>
      <c r="D31" s="3898"/>
      <c r="E31" s="3507" t="s">
        <v>3550</v>
      </c>
      <c r="F31" s="3521">
        <v>922.92</v>
      </c>
      <c r="G31" s="3471">
        <v>167.99</v>
      </c>
      <c r="H31" s="3483" t="s">
        <v>21</v>
      </c>
      <c r="I31" s="3549">
        <f ca="1">典型户型修正办!S46</f>
        <v>2212</v>
      </c>
      <c r="M31" s="3517"/>
      <c r="N31" s="3517"/>
      <c r="O31" s="3517"/>
      <c r="P31" s="3517"/>
      <c r="Q31" s="3517"/>
      <c r="R31" s="3517"/>
    </row>
    <row r="32" spans="1:18" s="3472" customFormat="1">
      <c r="A32" s="3916"/>
      <c r="B32" s="3897"/>
      <c r="C32" s="3897"/>
      <c r="D32" s="3898"/>
      <c r="E32" s="3507" t="s">
        <v>3551</v>
      </c>
      <c r="F32" s="3521">
        <v>922.92</v>
      </c>
      <c r="G32" s="3471">
        <v>167.99</v>
      </c>
      <c r="H32" s="3483" t="s">
        <v>21</v>
      </c>
      <c r="I32" s="3549">
        <f ca="1">典型户型修正办!S47</f>
        <v>2212</v>
      </c>
    </row>
    <row r="33" spans="1:18" s="3472" customFormat="1">
      <c r="A33" s="3916"/>
      <c r="B33" s="3897"/>
      <c r="C33" s="3897"/>
      <c r="D33" s="3898"/>
      <c r="E33" s="3508">
        <v>101</v>
      </c>
      <c r="F33" s="3521">
        <v>250.94</v>
      </c>
      <c r="G33" s="3471">
        <v>45.68</v>
      </c>
      <c r="H33" s="3483" t="s">
        <v>673</v>
      </c>
      <c r="I33" s="3549">
        <f ca="1">典型户型修正!S32</f>
        <v>1048</v>
      </c>
    </row>
    <row r="34" spans="1:18" s="3472" customFormat="1">
      <c r="A34" s="3916"/>
      <c r="B34" s="3897"/>
      <c r="C34" s="3897"/>
      <c r="D34" s="3898"/>
      <c r="E34" s="3508">
        <v>102</v>
      </c>
      <c r="F34" s="3521">
        <v>189.91</v>
      </c>
      <c r="G34" s="3471">
        <v>34.57</v>
      </c>
      <c r="H34" s="3483" t="s">
        <v>673</v>
      </c>
      <c r="I34" s="3549">
        <f ca="1">典型户型修正!S33</f>
        <v>801</v>
      </c>
    </row>
    <row r="35" spans="1:18" s="3472" customFormat="1">
      <c r="A35" s="3916"/>
      <c r="B35" s="3897"/>
      <c r="C35" s="3897"/>
      <c r="D35" s="3898"/>
      <c r="E35" s="3508">
        <v>202</v>
      </c>
      <c r="F35" s="3521">
        <v>434.02</v>
      </c>
      <c r="G35" s="3471">
        <v>79</v>
      </c>
      <c r="H35" s="3483" t="s">
        <v>673</v>
      </c>
      <c r="I35" s="3549">
        <f ca="1">典型户型修正!S34</f>
        <v>1345</v>
      </c>
    </row>
    <row r="36" spans="1:18" s="3472" customFormat="1">
      <c r="A36" s="3917"/>
      <c r="B36" s="3897"/>
      <c r="C36" s="3897"/>
      <c r="D36" s="3898"/>
      <c r="E36" s="3508">
        <v>203</v>
      </c>
      <c r="F36" s="3521">
        <v>763.13</v>
      </c>
      <c r="G36" s="3471">
        <v>138.91</v>
      </c>
      <c r="H36" s="3483" t="s">
        <v>673</v>
      </c>
      <c r="I36" s="3549">
        <f ca="1">典型户型修正!S35</f>
        <v>2342</v>
      </c>
    </row>
    <row r="37" spans="1:18" s="3472" customFormat="1">
      <c r="A37" s="3902" t="s">
        <v>3526</v>
      </c>
      <c r="B37" s="3902"/>
      <c r="C37" s="3902"/>
      <c r="D37" s="3902"/>
      <c r="E37" s="3902"/>
      <c r="F37" s="3520">
        <f>SUM(F14:F36)</f>
        <v>17672.920000000002</v>
      </c>
      <c r="G37" s="3466">
        <f>SUM(G14:G36)</f>
        <v>3216.8999999999987</v>
      </c>
      <c r="H37" s="3506" t="s">
        <v>3552</v>
      </c>
      <c r="I37" s="3550">
        <f ca="1">SUM(I14:I36)</f>
        <v>42578</v>
      </c>
    </row>
    <row r="38" spans="1:18" s="3517" customFormat="1" hidden="1">
      <c r="A38" s="3915">
        <v>6</v>
      </c>
      <c r="B38" s="3906" t="s">
        <v>3553</v>
      </c>
      <c r="C38" s="3897" t="s">
        <v>3554</v>
      </c>
      <c r="D38" s="3920" t="s">
        <v>3555</v>
      </c>
      <c r="E38" s="3587" t="s">
        <v>3556</v>
      </c>
      <c r="F38" s="3573">
        <v>44.95</v>
      </c>
      <c r="G38" s="3469">
        <v>8.19</v>
      </c>
      <c r="H38" s="3470" t="s">
        <v>3557</v>
      </c>
      <c r="I38" s="3549">
        <f ca="1">典型户型修正车!S25</f>
        <v>10</v>
      </c>
      <c r="M38" s="3472"/>
      <c r="N38" s="3472"/>
      <c r="O38" s="3472"/>
      <c r="P38" s="3472"/>
      <c r="Q38" s="3472"/>
      <c r="R38" s="3472"/>
    </row>
    <row r="39" spans="1:18" s="3472" customFormat="1" hidden="1">
      <c r="A39" s="3916"/>
      <c r="B39" s="3907"/>
      <c r="C39" s="3897"/>
      <c r="D39" s="3920"/>
      <c r="E39" s="3587" t="s">
        <v>3558</v>
      </c>
      <c r="F39" s="3573">
        <v>44.95</v>
      </c>
      <c r="G39" s="3469">
        <v>8.19</v>
      </c>
      <c r="H39" s="3470" t="s">
        <v>3557</v>
      </c>
      <c r="I39" s="3549">
        <f ca="1">典型户型修正车!S26</f>
        <v>10</v>
      </c>
    </row>
    <row r="40" spans="1:18" s="3472" customFormat="1" hidden="1">
      <c r="A40" s="3916"/>
      <c r="B40" s="3907"/>
      <c r="C40" s="3897"/>
      <c r="D40" s="3920"/>
      <c r="E40" s="3587" t="s">
        <v>3559</v>
      </c>
      <c r="F40" s="3573">
        <v>44.95</v>
      </c>
      <c r="G40" s="3469">
        <v>8.19</v>
      </c>
      <c r="H40" s="3470" t="s">
        <v>3557</v>
      </c>
      <c r="I40" s="3549">
        <f ca="1">典型户型修正车!S27</f>
        <v>10</v>
      </c>
    </row>
    <row r="41" spans="1:18" s="3472" customFormat="1" hidden="1">
      <c r="A41" s="3916"/>
      <c r="B41" s="3907"/>
      <c r="C41" s="3897"/>
      <c r="D41" s="3920"/>
      <c r="E41" s="3587" t="s">
        <v>3560</v>
      </c>
      <c r="F41" s="3573">
        <v>44.95</v>
      </c>
      <c r="G41" s="3469">
        <v>8.19</v>
      </c>
      <c r="H41" s="3470" t="s">
        <v>3557</v>
      </c>
      <c r="I41" s="3549">
        <f ca="1">典型户型修正车!S28</f>
        <v>10</v>
      </c>
    </row>
    <row r="42" spans="1:18" s="3472" customFormat="1" hidden="1">
      <c r="A42" s="3916"/>
      <c r="B42" s="3907"/>
      <c r="C42" s="3897"/>
      <c r="D42" s="3920"/>
      <c r="E42" s="3587" t="s">
        <v>3561</v>
      </c>
      <c r="F42" s="3573">
        <v>44.95</v>
      </c>
      <c r="G42" s="3469">
        <v>8.19</v>
      </c>
      <c r="H42" s="3470" t="s">
        <v>3557</v>
      </c>
      <c r="I42" s="3549">
        <f ca="1">典型户型修正车!S29</f>
        <v>10</v>
      </c>
    </row>
    <row r="43" spans="1:18" s="3472" customFormat="1" hidden="1">
      <c r="A43" s="3916"/>
      <c r="B43" s="3907"/>
      <c r="C43" s="3897"/>
      <c r="D43" s="3920"/>
      <c r="E43" s="3587" t="s">
        <v>3562</v>
      </c>
      <c r="F43" s="3573">
        <v>44.95</v>
      </c>
      <c r="G43" s="3469">
        <v>8.19</v>
      </c>
      <c r="H43" s="3470" t="s">
        <v>3557</v>
      </c>
      <c r="I43" s="3549">
        <f ca="1">典型户型修正车!S30</f>
        <v>10</v>
      </c>
    </row>
    <row r="44" spans="1:18" s="3472" customFormat="1" hidden="1">
      <c r="A44" s="3916"/>
      <c r="B44" s="3907"/>
      <c r="C44" s="3897"/>
      <c r="D44" s="3920"/>
      <c r="E44" s="3587" t="s">
        <v>3563</v>
      </c>
      <c r="F44" s="3573">
        <v>44.95</v>
      </c>
      <c r="G44" s="3469">
        <v>8.19</v>
      </c>
      <c r="H44" s="3470" t="s">
        <v>3557</v>
      </c>
      <c r="I44" s="3549">
        <f ca="1">典型户型修正车!S31</f>
        <v>10</v>
      </c>
    </row>
    <row r="45" spans="1:18" s="3472" customFormat="1" hidden="1">
      <c r="A45" s="3916"/>
      <c r="B45" s="3907"/>
      <c r="C45" s="3897"/>
      <c r="D45" s="3920"/>
      <c r="E45" s="3587" t="s">
        <v>3564</v>
      </c>
      <c r="F45" s="3573">
        <v>44.95</v>
      </c>
      <c r="G45" s="3469">
        <v>8.19</v>
      </c>
      <c r="H45" s="3470" t="s">
        <v>3557</v>
      </c>
      <c r="I45" s="3549">
        <f ca="1">典型户型修正车!S32</f>
        <v>10</v>
      </c>
    </row>
    <row r="46" spans="1:18" s="3472" customFormat="1" hidden="1">
      <c r="A46" s="3916"/>
      <c r="B46" s="3907"/>
      <c r="C46" s="3897"/>
      <c r="D46" s="3920"/>
      <c r="E46" s="3587" t="s">
        <v>3565</v>
      </c>
      <c r="F46" s="3573">
        <v>44.95</v>
      </c>
      <c r="G46" s="3469">
        <v>8.19</v>
      </c>
      <c r="H46" s="3470" t="s">
        <v>3557</v>
      </c>
      <c r="I46" s="3549">
        <f ca="1">典型户型修正车!S33</f>
        <v>10</v>
      </c>
    </row>
    <row r="47" spans="1:18" s="3472" customFormat="1" hidden="1">
      <c r="A47" s="3916"/>
      <c r="B47" s="3907"/>
      <c r="C47" s="3897"/>
      <c r="D47" s="3920"/>
      <c r="E47" s="3587" t="s">
        <v>3566</v>
      </c>
      <c r="F47" s="3573">
        <v>44.95</v>
      </c>
      <c r="G47" s="3469">
        <v>8.19</v>
      </c>
      <c r="H47" s="3470" t="s">
        <v>3557</v>
      </c>
      <c r="I47" s="3549">
        <f ca="1">典型户型修正车!S34</f>
        <v>10</v>
      </c>
    </row>
    <row r="48" spans="1:18" s="3472" customFormat="1" hidden="1">
      <c r="A48" s="3916"/>
      <c r="B48" s="3907"/>
      <c r="C48" s="3897"/>
      <c r="D48" s="3920"/>
      <c r="E48" s="3587" t="s">
        <v>3567</v>
      </c>
      <c r="F48" s="3573">
        <v>49.03</v>
      </c>
      <c r="G48" s="3469">
        <v>8.93</v>
      </c>
      <c r="H48" s="3470" t="s">
        <v>3557</v>
      </c>
      <c r="I48" s="3549">
        <f ca="1">典型户型修正车!S35</f>
        <v>11</v>
      </c>
    </row>
    <row r="49" spans="1:9" s="3472" customFormat="1" hidden="1">
      <c r="A49" s="3916"/>
      <c r="B49" s="3907"/>
      <c r="C49" s="3897"/>
      <c r="D49" s="3920"/>
      <c r="E49" s="3587" t="s">
        <v>3568</v>
      </c>
      <c r="F49" s="3573">
        <v>44.95</v>
      </c>
      <c r="G49" s="3469">
        <v>8.19</v>
      </c>
      <c r="H49" s="3470" t="s">
        <v>3557</v>
      </c>
      <c r="I49" s="3549">
        <f ca="1">典型户型修正车!S36</f>
        <v>10</v>
      </c>
    </row>
    <row r="50" spans="1:9" s="3472" customFormat="1" hidden="1">
      <c r="A50" s="3916"/>
      <c r="B50" s="3907"/>
      <c r="C50" s="3897"/>
      <c r="D50" s="3920"/>
      <c r="E50" s="3587" t="s">
        <v>3569</v>
      </c>
      <c r="F50" s="3573">
        <v>44.95</v>
      </c>
      <c r="G50" s="3469">
        <v>8.19</v>
      </c>
      <c r="H50" s="3470" t="s">
        <v>3557</v>
      </c>
      <c r="I50" s="3549">
        <f ca="1">典型户型修正车!S37</f>
        <v>10</v>
      </c>
    </row>
    <row r="51" spans="1:9" s="3472" customFormat="1" hidden="1">
      <c r="A51" s="3916"/>
      <c r="B51" s="3907"/>
      <c r="C51" s="3897"/>
      <c r="D51" s="3920"/>
      <c r="E51" s="3587" t="s">
        <v>3570</v>
      </c>
      <c r="F51" s="3573">
        <v>44.95</v>
      </c>
      <c r="G51" s="3469">
        <v>8.19</v>
      </c>
      <c r="H51" s="3470" t="s">
        <v>3557</v>
      </c>
      <c r="I51" s="3549">
        <f ca="1">典型户型修正车!S38</f>
        <v>10</v>
      </c>
    </row>
    <row r="52" spans="1:9" s="3472" customFormat="1" hidden="1">
      <c r="A52" s="3916"/>
      <c r="B52" s="3907"/>
      <c r="C52" s="3897"/>
      <c r="D52" s="3920"/>
      <c r="E52" s="3587" t="s">
        <v>3571</v>
      </c>
      <c r="F52" s="3573">
        <v>44.95</v>
      </c>
      <c r="G52" s="3469">
        <v>8.18</v>
      </c>
      <c r="H52" s="3470" t="s">
        <v>3557</v>
      </c>
      <c r="I52" s="3549">
        <f ca="1">典型户型修正车!S39</f>
        <v>10</v>
      </c>
    </row>
    <row r="53" spans="1:9" s="3472" customFormat="1" hidden="1">
      <c r="A53" s="3916"/>
      <c r="B53" s="3907"/>
      <c r="C53" s="3897"/>
      <c r="D53" s="3920"/>
      <c r="E53" s="3587" t="s">
        <v>3572</v>
      </c>
      <c r="F53" s="3573">
        <v>44.95</v>
      </c>
      <c r="G53" s="3469">
        <v>8.18</v>
      </c>
      <c r="H53" s="3470" t="s">
        <v>3557</v>
      </c>
      <c r="I53" s="3549">
        <f ca="1">典型户型修正车!S40</f>
        <v>10</v>
      </c>
    </row>
    <row r="54" spans="1:9" s="3472" customFormat="1" hidden="1">
      <c r="A54" s="3916"/>
      <c r="B54" s="3907"/>
      <c r="C54" s="3897"/>
      <c r="D54" s="3920"/>
      <c r="E54" s="3587" t="s">
        <v>3573</v>
      </c>
      <c r="F54" s="3573">
        <v>89.9</v>
      </c>
      <c r="G54" s="3469">
        <v>16.37</v>
      </c>
      <c r="H54" s="3470" t="s">
        <v>3557</v>
      </c>
      <c r="I54" s="3549">
        <f ca="1">典型户型修正车!S41</f>
        <v>19</v>
      </c>
    </row>
    <row r="55" spans="1:9" s="3472" customFormat="1" hidden="1">
      <c r="A55" s="3916"/>
      <c r="B55" s="3907"/>
      <c r="C55" s="3897"/>
      <c r="D55" s="3920"/>
      <c r="E55" s="3587" t="s">
        <v>3574</v>
      </c>
      <c r="F55" s="3573">
        <v>89.9</v>
      </c>
      <c r="G55" s="3469">
        <v>16.37</v>
      </c>
      <c r="H55" s="3470" t="s">
        <v>3557</v>
      </c>
      <c r="I55" s="3549">
        <f ca="1">典型户型修正车!S42</f>
        <v>19</v>
      </c>
    </row>
    <row r="56" spans="1:9" s="3472" customFormat="1" hidden="1">
      <c r="A56" s="3916"/>
      <c r="B56" s="3907"/>
      <c r="C56" s="3897"/>
      <c r="D56" s="3920"/>
      <c r="E56" s="3587" t="s">
        <v>3575</v>
      </c>
      <c r="F56" s="3573">
        <v>49.03</v>
      </c>
      <c r="G56" s="3469">
        <v>8.93</v>
      </c>
      <c r="H56" s="3470" t="s">
        <v>3557</v>
      </c>
      <c r="I56" s="3549">
        <f ca="1">典型户型修正车!S43</f>
        <v>11</v>
      </c>
    </row>
    <row r="57" spans="1:9" s="3472" customFormat="1" hidden="1">
      <c r="A57" s="3916"/>
      <c r="B57" s="3907"/>
      <c r="C57" s="3897"/>
      <c r="D57" s="3920"/>
      <c r="E57" s="3587" t="s">
        <v>3576</v>
      </c>
      <c r="F57" s="3573">
        <v>49.03</v>
      </c>
      <c r="G57" s="3469">
        <v>8.93</v>
      </c>
      <c r="H57" s="3470" t="s">
        <v>3557</v>
      </c>
      <c r="I57" s="3549">
        <f ca="1">典型户型修正车!S44</f>
        <v>11</v>
      </c>
    </row>
    <row r="58" spans="1:9" s="3472" customFormat="1" hidden="1">
      <c r="A58" s="3916"/>
      <c r="B58" s="3907"/>
      <c r="C58" s="3897"/>
      <c r="D58" s="3920"/>
      <c r="E58" s="3587" t="s">
        <v>3577</v>
      </c>
      <c r="F58" s="3573">
        <v>44.95</v>
      </c>
      <c r="G58" s="3469">
        <v>8.18</v>
      </c>
      <c r="H58" s="3470" t="s">
        <v>3557</v>
      </c>
      <c r="I58" s="3549">
        <f ca="1">典型户型修正车!S45</f>
        <v>10</v>
      </c>
    </row>
    <row r="59" spans="1:9" s="3472" customFormat="1" hidden="1">
      <c r="A59" s="3916"/>
      <c r="B59" s="3907"/>
      <c r="C59" s="3897"/>
      <c r="D59" s="3920"/>
      <c r="E59" s="3587" t="s">
        <v>3578</v>
      </c>
      <c r="F59" s="3573">
        <v>44.95</v>
      </c>
      <c r="G59" s="3469">
        <v>8.18</v>
      </c>
      <c r="H59" s="3470" t="s">
        <v>3557</v>
      </c>
      <c r="I59" s="3549">
        <f ca="1">典型户型修正车!S46</f>
        <v>10</v>
      </c>
    </row>
    <row r="60" spans="1:9" s="3472" customFormat="1" hidden="1">
      <c r="A60" s="3916"/>
      <c r="B60" s="3907"/>
      <c r="C60" s="3897"/>
      <c r="D60" s="3920"/>
      <c r="E60" s="3587" t="s">
        <v>3579</v>
      </c>
      <c r="F60" s="3573">
        <v>44.95</v>
      </c>
      <c r="G60" s="3469">
        <v>8.18</v>
      </c>
      <c r="H60" s="3470" t="s">
        <v>3557</v>
      </c>
      <c r="I60" s="3549">
        <f ca="1">典型户型修正车!S47</f>
        <v>10</v>
      </c>
    </row>
    <row r="61" spans="1:9" s="3472" customFormat="1" hidden="1">
      <c r="A61" s="3916"/>
      <c r="B61" s="3907"/>
      <c r="C61" s="3897"/>
      <c r="D61" s="3920"/>
      <c r="E61" s="3587" t="s">
        <v>3580</v>
      </c>
      <c r="F61" s="3573">
        <v>44.95</v>
      </c>
      <c r="G61" s="3469">
        <v>8.18</v>
      </c>
      <c r="H61" s="3470" t="s">
        <v>3557</v>
      </c>
      <c r="I61" s="3549">
        <f ca="1">典型户型修正车!S48</f>
        <v>10</v>
      </c>
    </row>
    <row r="62" spans="1:9" s="3472" customFormat="1" hidden="1">
      <c r="A62" s="3916"/>
      <c r="B62" s="3907"/>
      <c r="C62" s="3897"/>
      <c r="D62" s="3920"/>
      <c r="E62" s="3587" t="s">
        <v>3581</v>
      </c>
      <c r="F62" s="3573">
        <v>44.95</v>
      </c>
      <c r="G62" s="3469">
        <v>8.18</v>
      </c>
      <c r="H62" s="3470" t="s">
        <v>3557</v>
      </c>
      <c r="I62" s="3549">
        <f ca="1">典型户型修正车!S49</f>
        <v>10</v>
      </c>
    </row>
    <row r="63" spans="1:9" s="3472" customFormat="1" hidden="1">
      <c r="A63" s="3916"/>
      <c r="B63" s="3907"/>
      <c r="C63" s="3897"/>
      <c r="D63" s="3920"/>
      <c r="E63" s="3587" t="s">
        <v>3582</v>
      </c>
      <c r="F63" s="3573">
        <v>44.95</v>
      </c>
      <c r="G63" s="3469">
        <v>8.18</v>
      </c>
      <c r="H63" s="3470" t="s">
        <v>3557</v>
      </c>
      <c r="I63" s="3549">
        <f ca="1">典型户型修正车!S50</f>
        <v>10</v>
      </c>
    </row>
    <row r="64" spans="1:9" s="3472" customFormat="1" hidden="1">
      <c r="A64" s="3916"/>
      <c r="B64" s="3907"/>
      <c r="C64" s="3897"/>
      <c r="D64" s="3920"/>
      <c r="E64" s="3587" t="s">
        <v>3583</v>
      </c>
      <c r="F64" s="3573">
        <v>44.95</v>
      </c>
      <c r="G64" s="3469">
        <v>8.18</v>
      </c>
      <c r="H64" s="3470" t="s">
        <v>3557</v>
      </c>
      <c r="I64" s="3549">
        <f ca="1">典型户型修正车!S51</f>
        <v>10</v>
      </c>
    </row>
    <row r="65" spans="1:9" s="3472" customFormat="1" hidden="1">
      <c r="A65" s="3916"/>
      <c r="B65" s="3907"/>
      <c r="C65" s="3897"/>
      <c r="D65" s="3920"/>
      <c r="E65" s="3587" t="s">
        <v>3584</v>
      </c>
      <c r="F65" s="3573">
        <v>44.95</v>
      </c>
      <c r="G65" s="3469">
        <v>8.18</v>
      </c>
      <c r="H65" s="3470" t="s">
        <v>3557</v>
      </c>
      <c r="I65" s="3549">
        <f ca="1">典型户型修正车!S52</f>
        <v>10</v>
      </c>
    </row>
    <row r="66" spans="1:9" s="3472" customFormat="1" hidden="1">
      <c r="A66" s="3916"/>
      <c r="B66" s="3907"/>
      <c r="C66" s="3897"/>
      <c r="D66" s="3920"/>
      <c r="E66" s="3587" t="s">
        <v>3585</v>
      </c>
      <c r="F66" s="3573">
        <v>44.95</v>
      </c>
      <c r="G66" s="3469">
        <v>8.18</v>
      </c>
      <c r="H66" s="3470" t="s">
        <v>3557</v>
      </c>
      <c r="I66" s="3549">
        <f ca="1">典型户型修正车!S53</f>
        <v>10</v>
      </c>
    </row>
    <row r="67" spans="1:9" s="3472" customFormat="1" hidden="1">
      <c r="A67" s="3916"/>
      <c r="B67" s="3907"/>
      <c r="C67" s="3897"/>
      <c r="D67" s="3920"/>
      <c r="E67" s="3587" t="s">
        <v>3586</v>
      </c>
      <c r="F67" s="3573">
        <v>49.03</v>
      </c>
      <c r="G67" s="3469">
        <v>8.93</v>
      </c>
      <c r="H67" s="3470" t="s">
        <v>3557</v>
      </c>
      <c r="I67" s="3549">
        <f ca="1">典型户型修正车!S54</f>
        <v>11</v>
      </c>
    </row>
    <row r="68" spans="1:9" s="3472" customFormat="1" hidden="1">
      <c r="A68" s="3916"/>
      <c r="B68" s="3907"/>
      <c r="C68" s="3897"/>
      <c r="D68" s="3920"/>
      <c r="E68" s="3587" t="s">
        <v>3587</v>
      </c>
      <c r="F68" s="3573">
        <v>49.03</v>
      </c>
      <c r="G68" s="3469">
        <v>8.93</v>
      </c>
      <c r="H68" s="3470" t="s">
        <v>3557</v>
      </c>
      <c r="I68" s="3549">
        <f ca="1">典型户型修正车!S55</f>
        <v>11</v>
      </c>
    </row>
    <row r="69" spans="1:9" s="3472" customFormat="1" hidden="1">
      <c r="A69" s="3916"/>
      <c r="B69" s="3907"/>
      <c r="C69" s="3897"/>
      <c r="D69" s="3920"/>
      <c r="E69" s="3587" t="s">
        <v>3588</v>
      </c>
      <c r="F69" s="3573">
        <v>49.03</v>
      </c>
      <c r="G69" s="3469">
        <v>8.93</v>
      </c>
      <c r="H69" s="3470" t="s">
        <v>3557</v>
      </c>
      <c r="I69" s="3549">
        <f ca="1">典型户型修正车!S56</f>
        <v>11</v>
      </c>
    </row>
    <row r="70" spans="1:9" s="3472" customFormat="1" hidden="1">
      <c r="A70" s="3916"/>
      <c r="B70" s="3907"/>
      <c r="C70" s="3897"/>
      <c r="D70" s="3920"/>
      <c r="E70" s="3587" t="s">
        <v>3589</v>
      </c>
      <c r="F70" s="3573">
        <v>44.95</v>
      </c>
      <c r="G70" s="3469">
        <v>8.18</v>
      </c>
      <c r="H70" s="3470" t="s">
        <v>3557</v>
      </c>
      <c r="I70" s="3549">
        <f ca="1">典型户型修正车!S57</f>
        <v>10</v>
      </c>
    </row>
    <row r="71" spans="1:9" s="3472" customFormat="1" hidden="1">
      <c r="A71" s="3916"/>
      <c r="B71" s="3907"/>
      <c r="C71" s="3897"/>
      <c r="D71" s="3920"/>
      <c r="E71" s="3587" t="s">
        <v>3590</v>
      </c>
      <c r="F71" s="3573">
        <v>44.95</v>
      </c>
      <c r="G71" s="3469">
        <v>8.18</v>
      </c>
      <c r="H71" s="3470" t="s">
        <v>3557</v>
      </c>
      <c r="I71" s="3549">
        <f ca="1">典型户型修正车!S58</f>
        <v>10</v>
      </c>
    </row>
    <row r="72" spans="1:9" s="3472" customFormat="1" hidden="1">
      <c r="A72" s="3916"/>
      <c r="B72" s="3907"/>
      <c r="C72" s="3897"/>
      <c r="D72" s="3920"/>
      <c r="E72" s="3587" t="s">
        <v>3591</v>
      </c>
      <c r="F72" s="3573">
        <v>44.95</v>
      </c>
      <c r="G72" s="3469">
        <v>8.18</v>
      </c>
      <c r="H72" s="3470" t="s">
        <v>3557</v>
      </c>
      <c r="I72" s="3549">
        <f ca="1">典型户型修正车!S59</f>
        <v>10</v>
      </c>
    </row>
    <row r="73" spans="1:9" s="3472" customFormat="1" hidden="1">
      <c r="A73" s="3916"/>
      <c r="B73" s="3907"/>
      <c r="C73" s="3897"/>
      <c r="D73" s="3920"/>
      <c r="E73" s="3572" t="s">
        <v>3592</v>
      </c>
      <c r="F73" s="3573">
        <v>44.95</v>
      </c>
      <c r="G73" s="3469">
        <v>8.18</v>
      </c>
      <c r="H73" s="3470" t="s">
        <v>3557</v>
      </c>
      <c r="I73" s="3549">
        <f ca="1">典型户型修正车!S60</f>
        <v>10</v>
      </c>
    </row>
    <row r="74" spans="1:9" s="3472" customFormat="1" hidden="1">
      <c r="A74" s="3916"/>
      <c r="B74" s="3918"/>
      <c r="C74" s="3897"/>
      <c r="D74" s="3920"/>
      <c r="E74" s="3572" t="s">
        <v>3593</v>
      </c>
      <c r="F74" s="3573">
        <v>44.95</v>
      </c>
      <c r="G74" s="3469">
        <v>8.18</v>
      </c>
      <c r="H74" s="3470" t="s">
        <v>3557</v>
      </c>
      <c r="I74" s="3549">
        <f ca="1">典型户型修正车!S61</f>
        <v>10</v>
      </c>
    </row>
    <row r="75" spans="1:9" s="3472" customFormat="1" hidden="1">
      <c r="A75" s="3916"/>
      <c r="B75" s="3906" t="s">
        <v>3553</v>
      </c>
      <c r="C75" s="3897" t="s">
        <v>3554</v>
      </c>
      <c r="D75" s="3920" t="s">
        <v>3555</v>
      </c>
      <c r="E75" s="3572" t="s">
        <v>3594</v>
      </c>
      <c r="F75" s="3573">
        <v>44.95</v>
      </c>
      <c r="G75" s="3469">
        <v>8.18</v>
      </c>
      <c r="H75" s="3470" t="s">
        <v>3557</v>
      </c>
      <c r="I75" s="3549">
        <f ca="1">典型户型修正车!S62</f>
        <v>10</v>
      </c>
    </row>
    <row r="76" spans="1:9" s="3472" customFormat="1" hidden="1">
      <c r="A76" s="3916"/>
      <c r="B76" s="3907"/>
      <c r="C76" s="3897"/>
      <c r="D76" s="3920"/>
      <c r="E76" s="3572" t="s">
        <v>3595</v>
      </c>
      <c r="F76" s="3573">
        <v>44.95</v>
      </c>
      <c r="G76" s="3469">
        <v>8.18</v>
      </c>
      <c r="H76" s="3470" t="s">
        <v>3557</v>
      </c>
      <c r="I76" s="3549">
        <f ca="1">典型户型修正车!S63</f>
        <v>10</v>
      </c>
    </row>
    <row r="77" spans="1:9" s="3472" customFormat="1" hidden="1">
      <c r="A77" s="3916"/>
      <c r="B77" s="3907"/>
      <c r="C77" s="3897"/>
      <c r="D77" s="3920"/>
      <c r="E77" s="3572" t="s">
        <v>3596</v>
      </c>
      <c r="F77" s="3573">
        <v>44.95</v>
      </c>
      <c r="G77" s="3469">
        <v>8.18</v>
      </c>
      <c r="H77" s="3470" t="s">
        <v>3557</v>
      </c>
      <c r="I77" s="3549">
        <f ca="1">典型户型修正车!S64</f>
        <v>10</v>
      </c>
    </row>
    <row r="78" spans="1:9" s="3472" customFormat="1" hidden="1">
      <c r="A78" s="3916"/>
      <c r="B78" s="3907"/>
      <c r="C78" s="3897"/>
      <c r="D78" s="3920"/>
      <c r="E78" s="3572" t="s">
        <v>3597</v>
      </c>
      <c r="F78" s="3573">
        <v>44.95</v>
      </c>
      <c r="G78" s="3469">
        <v>8.18</v>
      </c>
      <c r="H78" s="3470" t="s">
        <v>3557</v>
      </c>
      <c r="I78" s="3549">
        <f ca="1">典型户型修正车!S65</f>
        <v>10</v>
      </c>
    </row>
    <row r="79" spans="1:9" s="3472" customFormat="1" hidden="1">
      <c r="A79" s="3916"/>
      <c r="B79" s="3907"/>
      <c r="C79" s="3897"/>
      <c r="D79" s="3920"/>
      <c r="E79" s="3572" t="s">
        <v>3598</v>
      </c>
      <c r="F79" s="3573">
        <v>44.95</v>
      </c>
      <c r="G79" s="3469">
        <v>8.18</v>
      </c>
      <c r="H79" s="3470" t="s">
        <v>3557</v>
      </c>
      <c r="I79" s="3549">
        <f ca="1">典型户型修正车!S66</f>
        <v>10</v>
      </c>
    </row>
    <row r="80" spans="1:9" s="3472" customFormat="1" hidden="1">
      <c r="A80" s="3916"/>
      <c r="B80" s="3907"/>
      <c r="C80" s="3897"/>
      <c r="D80" s="3920"/>
      <c r="E80" s="3572" t="s">
        <v>3599</v>
      </c>
      <c r="F80" s="3573">
        <v>44.95</v>
      </c>
      <c r="G80" s="3469">
        <v>8.18</v>
      </c>
      <c r="H80" s="3470" t="s">
        <v>3557</v>
      </c>
      <c r="I80" s="3549">
        <f ca="1">典型户型修正车!S67</f>
        <v>10</v>
      </c>
    </row>
    <row r="81" spans="1:9" s="3472" customFormat="1" hidden="1">
      <c r="A81" s="3916"/>
      <c r="B81" s="3907"/>
      <c r="C81" s="3897"/>
      <c r="D81" s="3920"/>
      <c r="E81" s="3572" t="s">
        <v>3600</v>
      </c>
      <c r="F81" s="3573">
        <v>44.95</v>
      </c>
      <c r="G81" s="3469">
        <v>8.18</v>
      </c>
      <c r="H81" s="3470" t="s">
        <v>3557</v>
      </c>
      <c r="I81" s="3549">
        <f ca="1">典型户型修正车!S68</f>
        <v>10</v>
      </c>
    </row>
    <row r="82" spans="1:9" s="3472" customFormat="1" hidden="1">
      <c r="A82" s="3916"/>
      <c r="B82" s="3907"/>
      <c r="C82" s="3897"/>
      <c r="D82" s="3920"/>
      <c r="E82" s="3572" t="s">
        <v>3601</v>
      </c>
      <c r="F82" s="3573">
        <v>44.95</v>
      </c>
      <c r="G82" s="3469">
        <v>8.18</v>
      </c>
      <c r="H82" s="3470" t="s">
        <v>3557</v>
      </c>
      <c r="I82" s="3549">
        <f ca="1">典型户型修正车!S69</f>
        <v>10</v>
      </c>
    </row>
    <row r="83" spans="1:9" s="3472" customFormat="1" hidden="1">
      <c r="A83" s="3916"/>
      <c r="B83" s="3907"/>
      <c r="C83" s="3897"/>
      <c r="D83" s="3920"/>
      <c r="E83" s="3572" t="s">
        <v>3602</v>
      </c>
      <c r="F83" s="3573">
        <v>44.95</v>
      </c>
      <c r="G83" s="3469">
        <v>8.18</v>
      </c>
      <c r="H83" s="3470" t="s">
        <v>3557</v>
      </c>
      <c r="I83" s="3549">
        <f ca="1">典型户型修正车!S70</f>
        <v>10</v>
      </c>
    </row>
    <row r="84" spans="1:9" s="3472" customFormat="1" hidden="1">
      <c r="A84" s="3916"/>
      <c r="B84" s="3907"/>
      <c r="C84" s="3897"/>
      <c r="D84" s="3920"/>
      <c r="E84" s="3572" t="s">
        <v>3603</v>
      </c>
      <c r="F84" s="3573">
        <v>44.95</v>
      </c>
      <c r="G84" s="3469">
        <v>8.18</v>
      </c>
      <c r="H84" s="3470" t="s">
        <v>3557</v>
      </c>
      <c r="I84" s="3549">
        <f ca="1">典型户型修正车!S71</f>
        <v>10</v>
      </c>
    </row>
    <row r="85" spans="1:9" s="3472" customFormat="1" hidden="1">
      <c r="A85" s="3916"/>
      <c r="B85" s="3907"/>
      <c r="C85" s="3897"/>
      <c r="D85" s="3920"/>
      <c r="E85" s="3587" t="s">
        <v>3604</v>
      </c>
      <c r="F85" s="3573">
        <v>44.95</v>
      </c>
      <c r="G85" s="3469">
        <v>8.18</v>
      </c>
      <c r="H85" s="3470" t="s">
        <v>3557</v>
      </c>
      <c r="I85" s="3549">
        <f ca="1">典型户型修正车!S72</f>
        <v>10</v>
      </c>
    </row>
    <row r="86" spans="1:9" s="3472" customFormat="1" hidden="1">
      <c r="A86" s="3916"/>
      <c r="B86" s="3907"/>
      <c r="C86" s="3897"/>
      <c r="D86" s="3920"/>
      <c r="E86" s="3587" t="s">
        <v>3605</v>
      </c>
      <c r="F86" s="3573">
        <v>44.95</v>
      </c>
      <c r="G86" s="3469">
        <v>8.18</v>
      </c>
      <c r="H86" s="3470" t="s">
        <v>3557</v>
      </c>
      <c r="I86" s="3549">
        <f ca="1">典型户型修正车!S73</f>
        <v>10</v>
      </c>
    </row>
    <row r="87" spans="1:9" s="3472" customFormat="1" hidden="1">
      <c r="A87" s="3916"/>
      <c r="B87" s="3907"/>
      <c r="C87" s="3897"/>
      <c r="D87" s="3920"/>
      <c r="E87" s="3572" t="s">
        <v>3606</v>
      </c>
      <c r="F87" s="3573">
        <v>44.95</v>
      </c>
      <c r="G87" s="3469">
        <v>8.18</v>
      </c>
      <c r="H87" s="3470" t="s">
        <v>3557</v>
      </c>
      <c r="I87" s="3549">
        <f ca="1">典型户型修正车!S74</f>
        <v>10</v>
      </c>
    </row>
    <row r="88" spans="1:9" s="3472" customFormat="1" hidden="1">
      <c r="A88" s="3916"/>
      <c r="B88" s="3907"/>
      <c r="C88" s="3897"/>
      <c r="D88" s="3920"/>
      <c r="E88" s="3572" t="s">
        <v>3607</v>
      </c>
      <c r="F88" s="3573">
        <v>49.03</v>
      </c>
      <c r="G88" s="3469">
        <v>8.93</v>
      </c>
      <c r="H88" s="3470" t="s">
        <v>3557</v>
      </c>
      <c r="I88" s="3549">
        <f ca="1">典型户型修正车!S75</f>
        <v>11</v>
      </c>
    </row>
    <row r="89" spans="1:9" s="3472" customFormat="1" hidden="1">
      <c r="A89" s="3916"/>
      <c r="B89" s="3907"/>
      <c r="C89" s="3897"/>
      <c r="D89" s="3920"/>
      <c r="E89" s="3572" t="s">
        <v>3608</v>
      </c>
      <c r="F89" s="3573">
        <v>44.95</v>
      </c>
      <c r="G89" s="3469">
        <v>8.18</v>
      </c>
      <c r="H89" s="3470" t="s">
        <v>3557</v>
      </c>
      <c r="I89" s="3549">
        <f ca="1">典型户型修正车!S76</f>
        <v>10</v>
      </c>
    </row>
    <row r="90" spans="1:9" s="3472" customFormat="1" hidden="1">
      <c r="A90" s="3916"/>
      <c r="B90" s="3907"/>
      <c r="C90" s="3897"/>
      <c r="D90" s="3920"/>
      <c r="E90" s="3587" t="s">
        <v>3609</v>
      </c>
      <c r="F90" s="3573">
        <v>44.95</v>
      </c>
      <c r="G90" s="3469">
        <v>8.18</v>
      </c>
      <c r="H90" s="3470" t="s">
        <v>3557</v>
      </c>
      <c r="I90" s="3549">
        <f ca="1">典型户型修正车!S77</f>
        <v>10</v>
      </c>
    </row>
    <row r="91" spans="1:9" s="3472" customFormat="1" hidden="1">
      <c r="A91" s="3916"/>
      <c r="B91" s="3907"/>
      <c r="C91" s="3897"/>
      <c r="D91" s="3920"/>
      <c r="E91" s="3572" t="s">
        <v>3610</v>
      </c>
      <c r="F91" s="3573">
        <v>44.95</v>
      </c>
      <c r="G91" s="3469">
        <v>8.18</v>
      </c>
      <c r="H91" s="3470" t="s">
        <v>3557</v>
      </c>
      <c r="I91" s="3549">
        <f ca="1">典型户型修正车!S78</f>
        <v>10</v>
      </c>
    </row>
    <row r="92" spans="1:9" s="3472" customFormat="1" hidden="1">
      <c r="A92" s="3916"/>
      <c r="B92" s="3907"/>
      <c r="C92" s="3897"/>
      <c r="D92" s="3920"/>
      <c r="E92" s="3572" t="s">
        <v>3611</v>
      </c>
      <c r="F92" s="3573">
        <v>44.95</v>
      </c>
      <c r="G92" s="3469">
        <v>8.18</v>
      </c>
      <c r="H92" s="3470" t="s">
        <v>3557</v>
      </c>
      <c r="I92" s="3549">
        <f ca="1">典型户型修正车!S79</f>
        <v>10</v>
      </c>
    </row>
    <row r="93" spans="1:9" s="3472" customFormat="1" hidden="1">
      <c r="A93" s="3916"/>
      <c r="B93" s="3907"/>
      <c r="C93" s="3897"/>
      <c r="D93" s="3920"/>
      <c r="E93" s="3572" t="s">
        <v>3612</v>
      </c>
      <c r="F93" s="3573">
        <v>44.95</v>
      </c>
      <c r="G93" s="3469">
        <v>8.18</v>
      </c>
      <c r="H93" s="3470" t="s">
        <v>3557</v>
      </c>
      <c r="I93" s="3549">
        <f ca="1">典型户型修正车!S80</f>
        <v>10</v>
      </c>
    </row>
    <row r="94" spans="1:9" s="3472" customFormat="1" hidden="1">
      <c r="A94" s="3916"/>
      <c r="B94" s="3907"/>
      <c r="C94" s="3897"/>
      <c r="D94" s="3920"/>
      <c r="E94" s="3572" t="s">
        <v>3613</v>
      </c>
      <c r="F94" s="3573">
        <v>44.95</v>
      </c>
      <c r="G94" s="3469">
        <v>8.18</v>
      </c>
      <c r="H94" s="3470" t="s">
        <v>3557</v>
      </c>
      <c r="I94" s="3549">
        <f ca="1">典型户型修正车!S81</f>
        <v>10</v>
      </c>
    </row>
    <row r="95" spans="1:9" s="3472" customFormat="1" hidden="1">
      <c r="A95" s="3916"/>
      <c r="B95" s="3907"/>
      <c r="C95" s="3897"/>
      <c r="D95" s="3920"/>
      <c r="E95" s="3572" t="s">
        <v>3614</v>
      </c>
      <c r="F95" s="3573">
        <v>44.95</v>
      </c>
      <c r="G95" s="3469">
        <v>8.18</v>
      </c>
      <c r="H95" s="3470" t="s">
        <v>3557</v>
      </c>
      <c r="I95" s="3549">
        <f ca="1">典型户型修正车!S82</f>
        <v>10</v>
      </c>
    </row>
    <row r="96" spans="1:9" s="3472" customFormat="1" hidden="1">
      <c r="A96" s="3916"/>
      <c r="B96" s="3907"/>
      <c r="C96" s="3897"/>
      <c r="D96" s="3920"/>
      <c r="E96" s="3572" t="s">
        <v>3615</v>
      </c>
      <c r="F96" s="3573">
        <v>44.95</v>
      </c>
      <c r="G96" s="3469">
        <v>8.18</v>
      </c>
      <c r="H96" s="3470" t="s">
        <v>3557</v>
      </c>
      <c r="I96" s="3549">
        <f ca="1">典型户型修正车!S83</f>
        <v>10</v>
      </c>
    </row>
    <row r="97" spans="1:9" s="3472" customFormat="1" hidden="1">
      <c r="A97" s="3916"/>
      <c r="B97" s="3907"/>
      <c r="C97" s="3897"/>
      <c r="D97" s="3920"/>
      <c r="E97" s="3572" t="s">
        <v>3616</v>
      </c>
      <c r="F97" s="3573">
        <v>44.95</v>
      </c>
      <c r="G97" s="3469">
        <v>8.18</v>
      </c>
      <c r="H97" s="3470" t="s">
        <v>3557</v>
      </c>
      <c r="I97" s="3549">
        <f ca="1">典型户型修正车!S84</f>
        <v>10</v>
      </c>
    </row>
    <row r="98" spans="1:9" s="3472" customFormat="1" hidden="1">
      <c r="A98" s="3916"/>
      <c r="B98" s="3907"/>
      <c r="C98" s="3897"/>
      <c r="D98" s="3920"/>
      <c r="E98" s="3572" t="s">
        <v>3617</v>
      </c>
      <c r="F98" s="3573">
        <v>44.95</v>
      </c>
      <c r="G98" s="3469">
        <v>8.18</v>
      </c>
      <c r="H98" s="3470" t="s">
        <v>3557</v>
      </c>
      <c r="I98" s="3549">
        <f ca="1">典型户型修正车!S85</f>
        <v>10</v>
      </c>
    </row>
    <row r="99" spans="1:9" s="3472" customFormat="1" hidden="1">
      <c r="A99" s="3916"/>
      <c r="B99" s="3907"/>
      <c r="C99" s="3897"/>
      <c r="D99" s="3920"/>
      <c r="E99" s="3572" t="s">
        <v>3618</v>
      </c>
      <c r="F99" s="3573">
        <v>44.95</v>
      </c>
      <c r="G99" s="3469">
        <v>8.18</v>
      </c>
      <c r="H99" s="3470" t="s">
        <v>3557</v>
      </c>
      <c r="I99" s="3549">
        <f ca="1">典型户型修正车!S86</f>
        <v>10</v>
      </c>
    </row>
    <row r="100" spans="1:9" s="3472" customFormat="1" hidden="1">
      <c r="A100" s="3916"/>
      <c r="B100" s="3907"/>
      <c r="C100" s="3897"/>
      <c r="D100" s="3920"/>
      <c r="E100" s="3572" t="s">
        <v>3619</v>
      </c>
      <c r="F100" s="3573">
        <v>44.95</v>
      </c>
      <c r="G100" s="3469">
        <v>8.18</v>
      </c>
      <c r="H100" s="3470" t="s">
        <v>3557</v>
      </c>
      <c r="I100" s="3549">
        <f ca="1">典型户型修正车!S87</f>
        <v>10</v>
      </c>
    </row>
    <row r="101" spans="1:9" s="3472" customFormat="1" hidden="1">
      <c r="A101" s="3916"/>
      <c r="B101" s="3907"/>
      <c r="C101" s="3897"/>
      <c r="D101" s="3920"/>
      <c r="E101" s="3572" t="s">
        <v>3620</v>
      </c>
      <c r="F101" s="3573">
        <v>44.95</v>
      </c>
      <c r="G101" s="3469">
        <v>8.18</v>
      </c>
      <c r="H101" s="3470" t="s">
        <v>3557</v>
      </c>
      <c r="I101" s="3549">
        <f ca="1">典型户型修正车!S88</f>
        <v>10</v>
      </c>
    </row>
    <row r="102" spans="1:9" s="3472" customFormat="1" hidden="1">
      <c r="A102" s="3916"/>
      <c r="B102" s="3907"/>
      <c r="C102" s="3897"/>
      <c r="D102" s="3920"/>
      <c r="E102" s="3572" t="s">
        <v>3621</v>
      </c>
      <c r="F102" s="3573">
        <v>44.95</v>
      </c>
      <c r="G102" s="3469">
        <v>8.18</v>
      </c>
      <c r="H102" s="3470" t="s">
        <v>3557</v>
      </c>
      <c r="I102" s="3549">
        <f ca="1">典型户型修正车!S89</f>
        <v>10</v>
      </c>
    </row>
    <row r="103" spans="1:9" s="3472" customFormat="1" hidden="1">
      <c r="A103" s="3916"/>
      <c r="B103" s="3907"/>
      <c r="C103" s="3897"/>
      <c r="D103" s="3920"/>
      <c r="E103" s="3572" t="s">
        <v>3622</v>
      </c>
      <c r="F103" s="3573">
        <v>44.95</v>
      </c>
      <c r="G103" s="3469">
        <v>8.18</v>
      </c>
      <c r="H103" s="3470" t="s">
        <v>3557</v>
      </c>
      <c r="I103" s="3549">
        <f ca="1">典型户型修正车!S90</f>
        <v>10</v>
      </c>
    </row>
    <row r="104" spans="1:9" s="3472" customFormat="1" hidden="1">
      <c r="A104" s="3916"/>
      <c r="B104" s="3907"/>
      <c r="C104" s="3897"/>
      <c r="D104" s="3920"/>
      <c r="E104" s="3572" t="s">
        <v>3623</v>
      </c>
      <c r="F104" s="3573">
        <v>44.95</v>
      </c>
      <c r="G104" s="3469">
        <v>8.18</v>
      </c>
      <c r="H104" s="3470" t="s">
        <v>3557</v>
      </c>
      <c r="I104" s="3549">
        <f ca="1">典型户型修正车!S91</f>
        <v>10</v>
      </c>
    </row>
    <row r="105" spans="1:9" s="3472" customFormat="1" hidden="1">
      <c r="A105" s="3916"/>
      <c r="B105" s="3907"/>
      <c r="C105" s="3897"/>
      <c r="D105" s="3920"/>
      <c r="E105" s="3572" t="s">
        <v>3624</v>
      </c>
      <c r="F105" s="3573">
        <v>44.95</v>
      </c>
      <c r="G105" s="3469">
        <v>8.18</v>
      </c>
      <c r="H105" s="3470" t="s">
        <v>3557</v>
      </c>
      <c r="I105" s="3549">
        <f ca="1">典型户型修正车!S92</f>
        <v>10</v>
      </c>
    </row>
    <row r="106" spans="1:9" s="3472" customFormat="1" hidden="1">
      <c r="A106" s="3916"/>
      <c r="B106" s="3907"/>
      <c r="C106" s="3897"/>
      <c r="D106" s="3920"/>
      <c r="E106" s="3572" t="s">
        <v>3625</v>
      </c>
      <c r="F106" s="3573">
        <v>44.95</v>
      </c>
      <c r="G106" s="3469">
        <v>8.18</v>
      </c>
      <c r="H106" s="3470" t="s">
        <v>3557</v>
      </c>
      <c r="I106" s="3549">
        <f ca="1">典型户型修正车!S93</f>
        <v>10</v>
      </c>
    </row>
    <row r="107" spans="1:9" s="3472" customFormat="1" hidden="1">
      <c r="A107" s="3916"/>
      <c r="B107" s="3907"/>
      <c r="C107" s="3897"/>
      <c r="D107" s="3920"/>
      <c r="E107" s="3572" t="s">
        <v>3626</v>
      </c>
      <c r="F107" s="3573">
        <v>49.03</v>
      </c>
      <c r="G107" s="3469">
        <v>8.93</v>
      </c>
      <c r="H107" s="3470" t="s">
        <v>3557</v>
      </c>
      <c r="I107" s="3549">
        <f ca="1">典型户型修正车!S94</f>
        <v>11</v>
      </c>
    </row>
    <row r="108" spans="1:9" s="3472" customFormat="1" hidden="1">
      <c r="A108" s="3916"/>
      <c r="B108" s="3907"/>
      <c r="C108" s="3897"/>
      <c r="D108" s="3920"/>
      <c r="E108" s="3572" t="s">
        <v>3627</v>
      </c>
      <c r="F108" s="3573">
        <v>44.95</v>
      </c>
      <c r="G108" s="3469">
        <v>8.18</v>
      </c>
      <c r="H108" s="3470" t="s">
        <v>3557</v>
      </c>
      <c r="I108" s="3549">
        <f ca="1">典型户型修正车!S95</f>
        <v>10</v>
      </c>
    </row>
    <row r="109" spans="1:9" s="3472" customFormat="1" hidden="1">
      <c r="A109" s="3916"/>
      <c r="B109" s="3907"/>
      <c r="C109" s="3897"/>
      <c r="D109" s="3920"/>
      <c r="E109" s="3572" t="s">
        <v>3628</v>
      </c>
      <c r="F109" s="3573">
        <v>44.95</v>
      </c>
      <c r="G109" s="3469">
        <v>8.18</v>
      </c>
      <c r="H109" s="3470" t="s">
        <v>3557</v>
      </c>
      <c r="I109" s="3549">
        <f ca="1">典型户型修正车!S96</f>
        <v>10</v>
      </c>
    </row>
    <row r="110" spans="1:9" s="3472" customFormat="1" hidden="1">
      <c r="A110" s="3916"/>
      <c r="B110" s="3907"/>
      <c r="C110" s="3897"/>
      <c r="D110" s="3920"/>
      <c r="E110" s="3572" t="s">
        <v>3629</v>
      </c>
      <c r="F110" s="3573">
        <v>44.95</v>
      </c>
      <c r="G110" s="3469">
        <v>8.18</v>
      </c>
      <c r="H110" s="3470" t="s">
        <v>3557</v>
      </c>
      <c r="I110" s="3549">
        <f ca="1">典型户型修正车!S97</f>
        <v>10</v>
      </c>
    </row>
    <row r="111" spans="1:9" s="3472" customFormat="1" hidden="1">
      <c r="A111" s="3916"/>
      <c r="B111" s="3918"/>
      <c r="C111" s="3897"/>
      <c r="D111" s="3920"/>
      <c r="E111" s="3572" t="s">
        <v>3630</v>
      </c>
      <c r="F111" s="3573">
        <v>44.95</v>
      </c>
      <c r="G111" s="3469">
        <v>8.18</v>
      </c>
      <c r="H111" s="3470" t="s">
        <v>3557</v>
      </c>
      <c r="I111" s="3549">
        <f ca="1">典型户型修正车!S98</f>
        <v>10</v>
      </c>
    </row>
    <row r="112" spans="1:9" s="3472" customFormat="1" hidden="1">
      <c r="A112" s="3916"/>
      <c r="B112" s="3906" t="s">
        <v>3553</v>
      </c>
      <c r="C112" s="3897" t="s">
        <v>3554</v>
      </c>
      <c r="D112" s="3920" t="s">
        <v>3555</v>
      </c>
      <c r="E112" s="3572" t="s">
        <v>3631</v>
      </c>
      <c r="F112" s="3573">
        <v>44.95</v>
      </c>
      <c r="G112" s="3469">
        <v>8.18</v>
      </c>
      <c r="H112" s="3470" t="s">
        <v>3557</v>
      </c>
      <c r="I112" s="3549">
        <f ca="1">典型户型修正车!S99</f>
        <v>10</v>
      </c>
    </row>
    <row r="113" spans="1:9" s="3472" customFormat="1" hidden="1">
      <c r="A113" s="3916"/>
      <c r="B113" s="3907"/>
      <c r="C113" s="3897"/>
      <c r="D113" s="3920"/>
      <c r="E113" s="3572" t="s">
        <v>3632</v>
      </c>
      <c r="F113" s="3573">
        <v>73.14</v>
      </c>
      <c r="G113" s="3469">
        <v>13.32</v>
      </c>
      <c r="H113" s="3470" t="s">
        <v>3557</v>
      </c>
      <c r="I113" s="3549">
        <f ca="1">典型户型修正车!S100</f>
        <v>15</v>
      </c>
    </row>
    <row r="114" spans="1:9" s="3472" customFormat="1" hidden="1">
      <c r="A114" s="3916"/>
      <c r="B114" s="3907"/>
      <c r="C114" s="3897"/>
      <c r="D114" s="3920"/>
      <c r="E114" s="3572" t="s">
        <v>3633</v>
      </c>
      <c r="F114" s="3573">
        <v>44.95</v>
      </c>
      <c r="G114" s="3469">
        <v>8.18</v>
      </c>
      <c r="H114" s="3470" t="s">
        <v>3557</v>
      </c>
      <c r="I114" s="3549">
        <f ca="1">典型户型修正车!S101</f>
        <v>10</v>
      </c>
    </row>
    <row r="115" spans="1:9" s="3472" customFormat="1" hidden="1">
      <c r="A115" s="3916"/>
      <c r="B115" s="3907"/>
      <c r="C115" s="3897"/>
      <c r="D115" s="3920"/>
      <c r="E115" s="3572" t="s">
        <v>3634</v>
      </c>
      <c r="F115" s="3573">
        <v>44.95</v>
      </c>
      <c r="G115" s="3469">
        <v>8.18</v>
      </c>
      <c r="H115" s="3470" t="s">
        <v>3557</v>
      </c>
      <c r="I115" s="3549">
        <f ca="1">典型户型修正车!S102</f>
        <v>10</v>
      </c>
    </row>
    <row r="116" spans="1:9" s="3472" customFormat="1" hidden="1">
      <c r="A116" s="3916"/>
      <c r="B116" s="3907"/>
      <c r="C116" s="3897"/>
      <c r="D116" s="3920"/>
      <c r="E116" s="3572" t="s">
        <v>3635</v>
      </c>
      <c r="F116" s="3573">
        <v>44.95</v>
      </c>
      <c r="G116" s="3469">
        <v>8.18</v>
      </c>
      <c r="H116" s="3470" t="s">
        <v>3557</v>
      </c>
      <c r="I116" s="3549">
        <f ca="1">典型户型修正车!S103</f>
        <v>10</v>
      </c>
    </row>
    <row r="117" spans="1:9" s="3472" customFormat="1" hidden="1">
      <c r="A117" s="3916"/>
      <c r="B117" s="3907"/>
      <c r="C117" s="3897"/>
      <c r="D117" s="3920"/>
      <c r="E117" s="3572" t="s">
        <v>3636</v>
      </c>
      <c r="F117" s="3573">
        <v>44.95</v>
      </c>
      <c r="G117" s="3469">
        <v>8.18</v>
      </c>
      <c r="H117" s="3470" t="s">
        <v>3557</v>
      </c>
      <c r="I117" s="3549">
        <f ca="1">典型户型修正车!S104</f>
        <v>10</v>
      </c>
    </row>
    <row r="118" spans="1:9" s="3472" customFormat="1" hidden="1">
      <c r="A118" s="3916"/>
      <c r="B118" s="3907"/>
      <c r="C118" s="3897"/>
      <c r="D118" s="3920"/>
      <c r="E118" s="3572" t="s">
        <v>3637</v>
      </c>
      <c r="F118" s="3573">
        <v>44.95</v>
      </c>
      <c r="G118" s="3469">
        <v>8.18</v>
      </c>
      <c r="H118" s="3470" t="s">
        <v>3557</v>
      </c>
      <c r="I118" s="3549">
        <f ca="1">典型户型修正车!S105</f>
        <v>10</v>
      </c>
    </row>
    <row r="119" spans="1:9" s="3472" customFormat="1" hidden="1">
      <c r="A119" s="3916"/>
      <c r="B119" s="3907"/>
      <c r="C119" s="3897"/>
      <c r="D119" s="3920"/>
      <c r="E119" s="3572" t="s">
        <v>3638</v>
      </c>
      <c r="F119" s="3573">
        <v>73.14</v>
      </c>
      <c r="G119" s="3469">
        <v>13.32</v>
      </c>
      <c r="H119" s="3470" t="s">
        <v>3557</v>
      </c>
      <c r="I119" s="3549">
        <f ca="1">典型户型修正车!S106</f>
        <v>15</v>
      </c>
    </row>
    <row r="120" spans="1:9" s="3472" customFormat="1" hidden="1">
      <c r="A120" s="3916"/>
      <c r="B120" s="3907"/>
      <c r="C120" s="3897"/>
      <c r="D120" s="3920"/>
      <c r="E120" s="3572" t="s">
        <v>3639</v>
      </c>
      <c r="F120" s="3573">
        <v>44.95</v>
      </c>
      <c r="G120" s="3469">
        <v>8.18</v>
      </c>
      <c r="H120" s="3470" t="s">
        <v>3557</v>
      </c>
      <c r="I120" s="3549">
        <f ca="1">典型户型修正车!S107</f>
        <v>10</v>
      </c>
    </row>
    <row r="121" spans="1:9" s="3472" customFormat="1" hidden="1">
      <c r="A121" s="3916"/>
      <c r="B121" s="3907"/>
      <c r="C121" s="3897"/>
      <c r="D121" s="3920"/>
      <c r="E121" s="3572" t="s">
        <v>3640</v>
      </c>
      <c r="F121" s="3573">
        <v>44.95</v>
      </c>
      <c r="G121" s="3469">
        <v>8.18</v>
      </c>
      <c r="H121" s="3470" t="s">
        <v>3557</v>
      </c>
      <c r="I121" s="3549">
        <f ca="1">典型户型修正车!S108</f>
        <v>10</v>
      </c>
    </row>
    <row r="122" spans="1:9" s="3472" customFormat="1" hidden="1">
      <c r="A122" s="3916"/>
      <c r="B122" s="3907"/>
      <c r="C122" s="3897"/>
      <c r="D122" s="3920"/>
      <c r="E122" s="3572" t="s">
        <v>3641</v>
      </c>
      <c r="F122" s="3573">
        <v>44.95</v>
      </c>
      <c r="G122" s="3469">
        <v>8.18</v>
      </c>
      <c r="H122" s="3470" t="s">
        <v>3557</v>
      </c>
      <c r="I122" s="3549">
        <f ca="1">典型户型修正车!S109</f>
        <v>10</v>
      </c>
    </row>
    <row r="123" spans="1:9" s="3472" customFormat="1" hidden="1">
      <c r="A123" s="3916"/>
      <c r="B123" s="3907"/>
      <c r="C123" s="3897"/>
      <c r="D123" s="3920"/>
      <c r="E123" s="3572" t="s">
        <v>3642</v>
      </c>
      <c r="F123" s="3573">
        <v>44.95</v>
      </c>
      <c r="G123" s="3469">
        <v>8.18</v>
      </c>
      <c r="H123" s="3470" t="s">
        <v>3557</v>
      </c>
      <c r="I123" s="3549">
        <f ca="1">典型户型修正车!S110</f>
        <v>10</v>
      </c>
    </row>
    <row r="124" spans="1:9" s="3472" customFormat="1" hidden="1">
      <c r="A124" s="3916"/>
      <c r="B124" s="3907"/>
      <c r="C124" s="3897"/>
      <c r="D124" s="3920"/>
      <c r="E124" s="3572" t="s">
        <v>3643</v>
      </c>
      <c r="F124" s="3573">
        <v>89.9</v>
      </c>
      <c r="G124" s="3469">
        <v>16.37</v>
      </c>
      <c r="H124" s="3470" t="s">
        <v>3557</v>
      </c>
      <c r="I124" s="3549">
        <f ca="1">典型户型修正车!S111</f>
        <v>19</v>
      </c>
    </row>
    <row r="125" spans="1:9" s="3472" customFormat="1" hidden="1">
      <c r="A125" s="3916"/>
      <c r="B125" s="3907"/>
      <c r="C125" s="3897"/>
      <c r="D125" s="3920"/>
      <c r="E125" s="3572" t="s">
        <v>3644</v>
      </c>
      <c r="F125" s="3573">
        <v>89.9</v>
      </c>
      <c r="G125" s="3469">
        <v>16.37</v>
      </c>
      <c r="H125" s="3470" t="s">
        <v>3557</v>
      </c>
      <c r="I125" s="3549">
        <f ca="1">典型户型修正车!S112</f>
        <v>19</v>
      </c>
    </row>
    <row r="126" spans="1:9" s="3472" customFormat="1" hidden="1">
      <c r="A126" s="3916"/>
      <c r="B126" s="3907"/>
      <c r="C126" s="3897"/>
      <c r="D126" s="3920"/>
      <c r="E126" s="3572" t="s">
        <v>3645</v>
      </c>
      <c r="F126" s="3573">
        <v>89.9</v>
      </c>
      <c r="G126" s="3469">
        <v>16.37</v>
      </c>
      <c r="H126" s="3470" t="s">
        <v>3557</v>
      </c>
      <c r="I126" s="3549">
        <f ca="1">典型户型修正车!S113</f>
        <v>19</v>
      </c>
    </row>
    <row r="127" spans="1:9" s="3472" customFormat="1" hidden="1">
      <c r="A127" s="3916"/>
      <c r="B127" s="3907"/>
      <c r="C127" s="3897"/>
      <c r="D127" s="3920"/>
      <c r="E127" s="3572" t="s">
        <v>3646</v>
      </c>
      <c r="F127" s="3573">
        <v>49.03</v>
      </c>
      <c r="G127" s="3469">
        <v>8.93</v>
      </c>
      <c r="H127" s="3470" t="s">
        <v>3557</v>
      </c>
      <c r="I127" s="3549">
        <f ca="1">典型户型修正车!S114</f>
        <v>11</v>
      </c>
    </row>
    <row r="128" spans="1:9" s="3472" customFormat="1" hidden="1">
      <c r="A128" s="3916"/>
      <c r="B128" s="3907"/>
      <c r="C128" s="3897"/>
      <c r="D128" s="3920"/>
      <c r="E128" s="3572" t="s">
        <v>3647</v>
      </c>
      <c r="F128" s="3573">
        <v>89.9</v>
      </c>
      <c r="G128" s="3469">
        <v>16.37</v>
      </c>
      <c r="H128" s="3470" t="s">
        <v>3557</v>
      </c>
      <c r="I128" s="3549">
        <f ca="1">典型户型修正车!S115</f>
        <v>19</v>
      </c>
    </row>
    <row r="129" spans="1:9" s="3472" customFormat="1" hidden="1">
      <c r="A129" s="3916"/>
      <c r="B129" s="3907"/>
      <c r="C129" s="3897"/>
      <c r="D129" s="3920"/>
      <c r="E129" s="3572" t="s">
        <v>3648</v>
      </c>
      <c r="F129" s="3573">
        <v>89.9</v>
      </c>
      <c r="G129" s="3469">
        <v>16.37</v>
      </c>
      <c r="H129" s="3470" t="s">
        <v>3557</v>
      </c>
      <c r="I129" s="3549">
        <f ca="1">典型户型修正车!S116</f>
        <v>19</v>
      </c>
    </row>
    <row r="130" spans="1:9" s="3472" customFormat="1" hidden="1">
      <c r="A130" s="3916"/>
      <c r="B130" s="3907"/>
      <c r="C130" s="3897"/>
      <c r="D130" s="3920"/>
      <c r="E130" s="3572" t="s">
        <v>3649</v>
      </c>
      <c r="F130" s="3573">
        <v>89.9</v>
      </c>
      <c r="G130" s="3469">
        <v>16.37</v>
      </c>
      <c r="H130" s="3470" t="s">
        <v>3557</v>
      </c>
      <c r="I130" s="3549">
        <f ca="1">典型户型修正车!S117</f>
        <v>19</v>
      </c>
    </row>
    <row r="131" spans="1:9" s="3472" customFormat="1" hidden="1">
      <c r="A131" s="3916"/>
      <c r="B131" s="3907"/>
      <c r="C131" s="3897"/>
      <c r="D131" s="3920"/>
      <c r="E131" s="3572" t="s">
        <v>3650</v>
      </c>
      <c r="F131" s="3573">
        <v>44.95</v>
      </c>
      <c r="G131" s="3469">
        <v>8.18</v>
      </c>
      <c r="H131" s="3470" t="s">
        <v>3557</v>
      </c>
      <c r="I131" s="3549">
        <f ca="1">典型户型修正车!S118</f>
        <v>10</v>
      </c>
    </row>
    <row r="132" spans="1:9" s="3472" customFormat="1" hidden="1">
      <c r="A132" s="3916"/>
      <c r="B132" s="3907"/>
      <c r="C132" s="3897"/>
      <c r="D132" s="3920"/>
      <c r="E132" s="3572" t="s">
        <v>3654</v>
      </c>
      <c r="F132" s="3573">
        <v>44.95</v>
      </c>
      <c r="G132" s="3469">
        <v>8.18</v>
      </c>
      <c r="H132" s="3470" t="s">
        <v>3557</v>
      </c>
      <c r="I132" s="3549">
        <f ca="1">典型户型修正车!S119</f>
        <v>10</v>
      </c>
    </row>
    <row r="133" spans="1:9" s="3472" customFormat="1" hidden="1">
      <c r="A133" s="3916"/>
      <c r="B133" s="3907"/>
      <c r="C133" s="3897"/>
      <c r="D133" s="3920"/>
      <c r="E133" s="3572" t="s">
        <v>3655</v>
      </c>
      <c r="F133" s="3573">
        <v>49.03</v>
      </c>
      <c r="G133" s="3469">
        <v>8.93</v>
      </c>
      <c r="H133" s="3470" t="s">
        <v>3557</v>
      </c>
      <c r="I133" s="3549">
        <f ca="1">典型户型修正车!S120</f>
        <v>11</v>
      </c>
    </row>
    <row r="134" spans="1:9" s="3472" customFormat="1" hidden="1">
      <c r="A134" s="3916"/>
      <c r="B134" s="3907"/>
      <c r="C134" s="3897"/>
      <c r="D134" s="3920"/>
      <c r="E134" s="3572" t="s">
        <v>3657</v>
      </c>
      <c r="F134" s="3573">
        <v>89.9</v>
      </c>
      <c r="G134" s="3469">
        <v>16.37</v>
      </c>
      <c r="H134" s="3470" t="s">
        <v>3557</v>
      </c>
      <c r="I134" s="3549">
        <f ca="1">典型户型修正车!S121</f>
        <v>21</v>
      </c>
    </row>
    <row r="135" spans="1:9" s="3472" customFormat="1" hidden="1">
      <c r="A135" s="3916"/>
      <c r="B135" s="3907"/>
      <c r="C135" s="3897"/>
      <c r="D135" s="3920"/>
      <c r="E135" s="3572" t="s">
        <v>3659</v>
      </c>
      <c r="F135" s="3573">
        <v>44.95</v>
      </c>
      <c r="G135" s="3469">
        <v>8.18</v>
      </c>
      <c r="H135" s="3470" t="s">
        <v>3557</v>
      </c>
      <c r="I135" s="3549">
        <f ca="1">典型户型修正车!S122</f>
        <v>10</v>
      </c>
    </row>
    <row r="136" spans="1:9" s="3472" customFormat="1" hidden="1">
      <c r="A136" s="3916"/>
      <c r="B136" s="3907"/>
      <c r="C136" s="3897"/>
      <c r="D136" s="3920"/>
      <c r="E136" s="3587" t="s">
        <v>3661</v>
      </c>
      <c r="F136" s="3573">
        <v>44.95</v>
      </c>
      <c r="G136" s="3469">
        <v>8.18</v>
      </c>
      <c r="H136" s="3470" t="s">
        <v>3557</v>
      </c>
      <c r="I136" s="3549">
        <f ca="1">典型户型修正车!S123</f>
        <v>10</v>
      </c>
    </row>
    <row r="137" spans="1:9" s="3472" customFormat="1" hidden="1">
      <c r="A137" s="3916"/>
      <c r="B137" s="3907"/>
      <c r="C137" s="3897"/>
      <c r="D137" s="3920"/>
      <c r="E137" s="3587" t="s">
        <v>3662</v>
      </c>
      <c r="F137" s="3573">
        <v>44.95</v>
      </c>
      <c r="G137" s="3469">
        <v>8.18</v>
      </c>
      <c r="H137" s="3470" t="s">
        <v>3557</v>
      </c>
      <c r="I137" s="3549">
        <f ca="1">典型户型修正车!S124</f>
        <v>10</v>
      </c>
    </row>
    <row r="138" spans="1:9" s="3472" customFormat="1" hidden="1">
      <c r="A138" s="3916"/>
      <c r="B138" s="3907"/>
      <c r="C138" s="3897"/>
      <c r="D138" s="3920"/>
      <c r="E138" s="3587" t="s">
        <v>3663</v>
      </c>
      <c r="F138" s="3573">
        <v>44.95</v>
      </c>
      <c r="G138" s="3469">
        <v>8.18</v>
      </c>
      <c r="H138" s="3470" t="s">
        <v>3557</v>
      </c>
      <c r="I138" s="3549">
        <f ca="1">典型户型修正车!S125</f>
        <v>10</v>
      </c>
    </row>
    <row r="139" spans="1:9" s="3472" customFormat="1" hidden="1">
      <c r="A139" s="3916"/>
      <c r="B139" s="3907"/>
      <c r="C139" s="3897"/>
      <c r="D139" s="3920"/>
      <c r="E139" s="3587" t="s">
        <v>3664</v>
      </c>
      <c r="F139" s="3573">
        <v>44.95</v>
      </c>
      <c r="G139" s="3469">
        <v>8.18</v>
      </c>
      <c r="H139" s="3470" t="s">
        <v>3557</v>
      </c>
      <c r="I139" s="3549">
        <f ca="1">典型户型修正车!S126</f>
        <v>10</v>
      </c>
    </row>
    <row r="140" spans="1:9" s="3472" customFormat="1" hidden="1">
      <c r="A140" s="3916"/>
      <c r="B140" s="3907"/>
      <c r="C140" s="3897"/>
      <c r="D140" s="3920"/>
      <c r="E140" s="3587" t="s">
        <v>3665</v>
      </c>
      <c r="F140" s="3573">
        <v>44.95</v>
      </c>
      <c r="G140" s="3469">
        <v>8.18</v>
      </c>
      <c r="H140" s="3470" t="s">
        <v>3557</v>
      </c>
      <c r="I140" s="3549">
        <f ca="1">典型户型修正车!S127</f>
        <v>10</v>
      </c>
    </row>
    <row r="141" spans="1:9" s="3472" customFormat="1" hidden="1">
      <c r="A141" s="3916"/>
      <c r="B141" s="3907"/>
      <c r="C141" s="3897"/>
      <c r="D141" s="3920"/>
      <c r="E141" s="3587" t="s">
        <v>3666</v>
      </c>
      <c r="F141" s="3573">
        <v>44.95</v>
      </c>
      <c r="G141" s="3469">
        <v>8.18</v>
      </c>
      <c r="H141" s="3470" t="s">
        <v>3557</v>
      </c>
      <c r="I141" s="3549">
        <f ca="1">典型户型修正车!S128</f>
        <v>10</v>
      </c>
    </row>
    <row r="142" spans="1:9" s="3472" customFormat="1" hidden="1">
      <c r="A142" s="3916"/>
      <c r="B142" s="3907"/>
      <c r="C142" s="3897"/>
      <c r="D142" s="3920"/>
      <c r="E142" s="3587" t="s">
        <v>3668</v>
      </c>
      <c r="F142" s="3573">
        <v>44.95</v>
      </c>
      <c r="G142" s="3469">
        <v>8.18</v>
      </c>
      <c r="H142" s="3470" t="s">
        <v>3557</v>
      </c>
      <c r="I142" s="3549">
        <f ca="1">典型户型修正车!S129</f>
        <v>10</v>
      </c>
    </row>
    <row r="143" spans="1:9" s="3472" customFormat="1" hidden="1">
      <c r="A143" s="3916"/>
      <c r="B143" s="3907"/>
      <c r="C143" s="3897"/>
      <c r="D143" s="3920"/>
      <c r="E143" s="3587" t="s">
        <v>3669</v>
      </c>
      <c r="F143" s="3573">
        <v>44.95</v>
      </c>
      <c r="G143" s="3469">
        <v>8.18</v>
      </c>
      <c r="H143" s="3470" t="s">
        <v>3557</v>
      </c>
      <c r="I143" s="3549">
        <f ca="1">典型户型修正车!S130</f>
        <v>10</v>
      </c>
    </row>
    <row r="144" spans="1:9" s="3472" customFormat="1" hidden="1">
      <c r="A144" s="3916"/>
      <c r="B144" s="3907"/>
      <c r="C144" s="3897"/>
      <c r="D144" s="3920"/>
      <c r="E144" s="3587" t="s">
        <v>3670</v>
      </c>
      <c r="F144" s="3573">
        <v>44.95</v>
      </c>
      <c r="G144" s="3469">
        <v>8.18</v>
      </c>
      <c r="H144" s="3470" t="s">
        <v>3557</v>
      </c>
      <c r="I144" s="3549">
        <f ca="1">典型户型修正车!S131</f>
        <v>10</v>
      </c>
    </row>
    <row r="145" spans="1:18" s="3472" customFormat="1" hidden="1">
      <c r="A145" s="3916"/>
      <c r="B145" s="3907"/>
      <c r="C145" s="3897"/>
      <c r="D145" s="3920"/>
      <c r="E145" s="3587" t="s">
        <v>3671</v>
      </c>
      <c r="F145" s="3573">
        <v>44.95</v>
      </c>
      <c r="G145" s="3469">
        <v>8.18</v>
      </c>
      <c r="H145" s="3470" t="s">
        <v>3557</v>
      </c>
      <c r="I145" s="3549">
        <f ca="1">典型户型修正车!S132</f>
        <v>10</v>
      </c>
    </row>
    <row r="146" spans="1:18" s="3472" customFormat="1" hidden="1">
      <c r="A146" s="3916"/>
      <c r="B146" s="3907"/>
      <c r="C146" s="3897"/>
      <c r="D146" s="3920"/>
      <c r="E146" s="3587" t="s">
        <v>3672</v>
      </c>
      <c r="F146" s="3573">
        <v>44.95</v>
      </c>
      <c r="G146" s="3469">
        <v>8.18</v>
      </c>
      <c r="H146" s="3470" t="s">
        <v>3557</v>
      </c>
      <c r="I146" s="3549">
        <f ca="1">典型户型修正车!S133</f>
        <v>10</v>
      </c>
    </row>
    <row r="147" spans="1:18" s="3472" customFormat="1" hidden="1">
      <c r="A147" s="3916"/>
      <c r="B147" s="3907"/>
      <c r="C147" s="3897"/>
      <c r="D147" s="3920"/>
      <c r="E147" s="3587" t="s">
        <v>3673</v>
      </c>
      <c r="F147" s="3573">
        <v>44.95</v>
      </c>
      <c r="G147" s="3469">
        <v>8.18</v>
      </c>
      <c r="H147" s="3470" t="s">
        <v>3557</v>
      </c>
      <c r="I147" s="3549">
        <f ca="1">典型户型修正车!S134</f>
        <v>10</v>
      </c>
    </row>
    <row r="148" spans="1:18" s="3472" customFormat="1" hidden="1">
      <c r="A148" s="3916"/>
      <c r="B148" s="3918"/>
      <c r="C148" s="3897"/>
      <c r="D148" s="3920"/>
      <c r="E148" s="3587" t="s">
        <v>3674</v>
      </c>
      <c r="F148" s="3573">
        <v>44.95</v>
      </c>
      <c r="G148" s="3469">
        <v>8.18</v>
      </c>
      <c r="H148" s="3470" t="s">
        <v>3557</v>
      </c>
      <c r="I148" s="3549">
        <f ca="1">典型户型修正车!S135</f>
        <v>10</v>
      </c>
    </row>
    <row r="149" spans="1:18" s="3472" customFormat="1" hidden="1">
      <c r="A149" s="3916"/>
      <c r="B149" s="3906" t="s">
        <v>3553</v>
      </c>
      <c r="C149" s="3897" t="s">
        <v>3554</v>
      </c>
      <c r="D149" s="3920" t="s">
        <v>3555</v>
      </c>
      <c r="E149" s="3572" t="s">
        <v>3675</v>
      </c>
      <c r="F149" s="3573">
        <v>44.95</v>
      </c>
      <c r="G149" s="3469">
        <v>8.18</v>
      </c>
      <c r="H149" s="3470" t="s">
        <v>3557</v>
      </c>
      <c r="I149" s="3549">
        <f ca="1">典型户型修正车!S136</f>
        <v>10</v>
      </c>
    </row>
    <row r="150" spans="1:18" s="3472" customFormat="1" hidden="1">
      <c r="A150" s="3916"/>
      <c r="B150" s="3907"/>
      <c r="C150" s="3897"/>
      <c r="D150" s="3920"/>
      <c r="E150" s="3572" t="s">
        <v>3676</v>
      </c>
      <c r="F150" s="3573">
        <v>44.95</v>
      </c>
      <c r="G150" s="3469">
        <v>8.18</v>
      </c>
      <c r="H150" s="3470" t="s">
        <v>3557</v>
      </c>
      <c r="I150" s="3549">
        <f ca="1">典型户型修正车!S137</f>
        <v>10</v>
      </c>
    </row>
    <row r="151" spans="1:18" s="3472" customFormat="1" hidden="1">
      <c r="A151" s="3916"/>
      <c r="B151" s="3907"/>
      <c r="C151" s="3897"/>
      <c r="D151" s="3920"/>
      <c r="E151" s="3572" t="s">
        <v>3677</v>
      </c>
      <c r="F151" s="3573">
        <v>44.95</v>
      </c>
      <c r="G151" s="3469">
        <v>8.18</v>
      </c>
      <c r="H151" s="3470" t="s">
        <v>3557</v>
      </c>
      <c r="I151" s="3549">
        <f ca="1">典型户型修正车!S138</f>
        <v>10</v>
      </c>
    </row>
    <row r="152" spans="1:18" s="3472" customFormat="1" hidden="1">
      <c r="A152" s="3916"/>
      <c r="B152" s="3907"/>
      <c r="C152" s="3897"/>
      <c r="D152" s="3920"/>
      <c r="E152" s="3572" t="s">
        <v>3678</v>
      </c>
      <c r="F152" s="3573">
        <v>44.95</v>
      </c>
      <c r="G152" s="3469">
        <v>8.18</v>
      </c>
      <c r="H152" s="3470" t="s">
        <v>3557</v>
      </c>
      <c r="I152" s="3549">
        <f ca="1">典型户型修正车!S139</f>
        <v>10</v>
      </c>
    </row>
    <row r="153" spans="1:18" s="3472" customFormat="1" hidden="1">
      <c r="A153" s="3916"/>
      <c r="B153" s="3907"/>
      <c r="C153" s="3897"/>
      <c r="D153" s="3920"/>
      <c r="E153" s="3572" t="s">
        <v>3679</v>
      </c>
      <c r="F153" s="3573">
        <v>44.95</v>
      </c>
      <c r="G153" s="3469">
        <v>8.18</v>
      </c>
      <c r="H153" s="3470" t="s">
        <v>3557</v>
      </c>
      <c r="I153" s="3549">
        <f ca="1">典型户型修正车!S140</f>
        <v>10</v>
      </c>
    </row>
    <row r="154" spans="1:18" s="3472" customFormat="1" hidden="1">
      <c r="A154" s="3916"/>
      <c r="B154" s="3907"/>
      <c r="C154" s="3897"/>
      <c r="D154" s="3920"/>
      <c r="E154" s="3572" t="s">
        <v>3680</v>
      </c>
      <c r="F154" s="3573">
        <v>44.95</v>
      </c>
      <c r="G154" s="3469">
        <v>8.18</v>
      </c>
      <c r="H154" s="3470" t="s">
        <v>3557</v>
      </c>
      <c r="I154" s="3549">
        <f ca="1">典型户型修正车!S141</f>
        <v>10</v>
      </c>
    </row>
    <row r="155" spans="1:18" s="3472" customFormat="1" hidden="1">
      <c r="A155" s="3916"/>
      <c r="B155" s="3907"/>
      <c r="C155" s="3897"/>
      <c r="D155" s="3920"/>
      <c r="E155" s="3572" t="s">
        <v>3688</v>
      </c>
      <c r="F155" s="3573">
        <v>44.95</v>
      </c>
      <c r="G155" s="3469">
        <v>8.18</v>
      </c>
      <c r="H155" s="3470" t="s">
        <v>3557</v>
      </c>
      <c r="I155" s="3549">
        <f ca="1">典型户型修正车!S142</f>
        <v>10</v>
      </c>
    </row>
    <row r="156" spans="1:18" s="3472" customFormat="1" hidden="1">
      <c r="A156" s="3916"/>
      <c r="B156" s="3907"/>
      <c r="C156" s="3897"/>
      <c r="D156" s="3920"/>
      <c r="E156" s="3572" t="s">
        <v>3689</v>
      </c>
      <c r="F156" s="3573">
        <v>44.95</v>
      </c>
      <c r="G156" s="3469">
        <v>8.18</v>
      </c>
      <c r="H156" s="3470" t="s">
        <v>3557</v>
      </c>
      <c r="I156" s="3549">
        <f ca="1">典型户型修正车!S143</f>
        <v>10</v>
      </c>
    </row>
    <row r="157" spans="1:18" s="3472" customFormat="1" hidden="1">
      <c r="A157" s="3916"/>
      <c r="B157" s="3907"/>
      <c r="C157" s="3897"/>
      <c r="D157" s="3920"/>
      <c r="E157" s="3572" t="s">
        <v>3690</v>
      </c>
      <c r="F157" s="3573">
        <v>44.95</v>
      </c>
      <c r="G157" s="3469">
        <v>8.18</v>
      </c>
      <c r="H157" s="3470" t="s">
        <v>3557</v>
      </c>
      <c r="I157" s="3549">
        <f ca="1">典型户型修正车!S144</f>
        <v>10</v>
      </c>
    </row>
    <row r="158" spans="1:18" s="3472" customFormat="1" hidden="1">
      <c r="A158" s="3916"/>
      <c r="B158" s="3907"/>
      <c r="C158" s="3897"/>
      <c r="D158" s="3920"/>
      <c r="E158" s="3572" t="s">
        <v>3691</v>
      </c>
      <c r="F158" s="3573">
        <v>44.95</v>
      </c>
      <c r="G158" s="3469">
        <v>8.18</v>
      </c>
      <c r="H158" s="3470" t="s">
        <v>3557</v>
      </c>
      <c r="I158" s="3549">
        <f ca="1">典型户型修正车!S145</f>
        <v>10</v>
      </c>
    </row>
    <row r="159" spans="1:18" s="3472" customFormat="1" hidden="1">
      <c r="A159" s="3916"/>
      <c r="B159" s="3907"/>
      <c r="C159" s="3897"/>
      <c r="D159" s="3920"/>
      <c r="E159" s="3572" t="s">
        <v>3692</v>
      </c>
      <c r="F159" s="3573">
        <v>44.95</v>
      </c>
      <c r="G159" s="3469">
        <v>8.18</v>
      </c>
      <c r="H159" s="3470" t="s">
        <v>3557</v>
      </c>
      <c r="I159" s="3549">
        <f ca="1">典型户型修正车!S146</f>
        <v>10</v>
      </c>
      <c r="M159" s="3590"/>
      <c r="N159" s="3590"/>
      <c r="O159" s="3590"/>
      <c r="P159" s="3590"/>
      <c r="Q159" s="3590"/>
      <c r="R159" s="3590"/>
    </row>
    <row r="160" spans="1:18" s="3472" customFormat="1" hidden="1">
      <c r="A160" s="3916"/>
      <c r="B160" s="3907"/>
      <c r="C160" s="3897"/>
      <c r="D160" s="3920"/>
      <c r="E160" s="3572">
        <v>-101</v>
      </c>
      <c r="F160" s="3573">
        <v>211.51</v>
      </c>
      <c r="G160" s="3469">
        <v>38.5</v>
      </c>
      <c r="H160" s="3470" t="s">
        <v>673</v>
      </c>
      <c r="I160" s="3549">
        <f>典型户型修正!S37</f>
        <v>0</v>
      </c>
    </row>
    <row r="161" spans="1:18" s="3472" customFormat="1" hidden="1">
      <c r="A161" s="3916"/>
      <c r="B161" s="3907"/>
      <c r="C161" s="3897"/>
      <c r="D161" s="3920"/>
      <c r="E161" s="3567">
        <v>-102</v>
      </c>
      <c r="F161" s="3573">
        <v>62.54</v>
      </c>
      <c r="G161" s="3469">
        <v>11.39</v>
      </c>
      <c r="H161" s="3470" t="s">
        <v>673</v>
      </c>
      <c r="I161" s="3549">
        <f>典型户型修正!S38</f>
        <v>0</v>
      </c>
    </row>
    <row r="162" spans="1:18" s="3472" customFormat="1" hidden="1">
      <c r="A162" s="3916"/>
      <c r="B162" s="3907"/>
      <c r="C162" s="3897"/>
      <c r="D162" s="3920"/>
      <c r="E162" s="3574">
        <v>-103</v>
      </c>
      <c r="F162" s="3573">
        <v>77.900000000000006</v>
      </c>
      <c r="G162" s="3469">
        <v>14.18</v>
      </c>
      <c r="H162" s="3470" t="s">
        <v>673</v>
      </c>
      <c r="I162" s="3549">
        <f>典型户型修正!S39</f>
        <v>0</v>
      </c>
    </row>
    <row r="163" spans="1:18" s="3472" customFormat="1" hidden="1">
      <c r="A163" s="3916"/>
      <c r="B163" s="3907"/>
      <c r="C163" s="3897"/>
      <c r="D163" s="3920"/>
      <c r="E163" s="3575">
        <v>-104</v>
      </c>
      <c r="F163" s="3573">
        <v>95.91</v>
      </c>
      <c r="G163" s="3469">
        <v>17.46</v>
      </c>
      <c r="H163" s="3470" t="s">
        <v>673</v>
      </c>
      <c r="I163" s="3549">
        <f>典型户型修正!S40</f>
        <v>0</v>
      </c>
    </row>
    <row r="164" spans="1:18" s="3472" customFormat="1" hidden="1">
      <c r="A164" s="3916"/>
      <c r="B164" s="3907"/>
      <c r="C164" s="3897"/>
      <c r="D164" s="3920"/>
      <c r="E164" s="3575">
        <v>-105</v>
      </c>
      <c r="F164" s="3573">
        <v>95.03</v>
      </c>
      <c r="G164" s="3469">
        <v>17.3</v>
      </c>
      <c r="H164" s="3470" t="s">
        <v>673</v>
      </c>
      <c r="I164" s="3549">
        <f>典型户型修正!S41</f>
        <v>0</v>
      </c>
    </row>
    <row r="165" spans="1:18" s="3472" customFormat="1" hidden="1">
      <c r="A165" s="3916"/>
      <c r="B165" s="3907"/>
      <c r="C165" s="3897"/>
      <c r="D165" s="3920"/>
      <c r="E165" s="3575">
        <v>-106</v>
      </c>
      <c r="F165" s="3573">
        <v>136.32</v>
      </c>
      <c r="G165" s="3469">
        <v>24.82</v>
      </c>
      <c r="H165" s="3470" t="s">
        <v>673</v>
      </c>
      <c r="I165" s="3549">
        <f>典型户型修正!S42</f>
        <v>0</v>
      </c>
    </row>
    <row r="166" spans="1:18" s="3590" customFormat="1" hidden="1">
      <c r="A166" s="3916"/>
      <c r="B166" s="3907"/>
      <c r="C166" s="3897"/>
      <c r="D166" s="3920"/>
      <c r="E166" s="3579" t="s">
        <v>3451</v>
      </c>
      <c r="F166" s="3580">
        <v>44.95</v>
      </c>
      <c r="G166" s="3588">
        <v>8.18</v>
      </c>
      <c r="H166" s="3589" t="s">
        <v>3557</v>
      </c>
      <c r="I166" s="3549">
        <f ca="1">典型户型修正车!S24</f>
        <v>11</v>
      </c>
      <c r="M166" s="3472"/>
      <c r="N166" s="3472"/>
      <c r="O166" s="3472"/>
      <c r="P166" s="3472"/>
      <c r="Q166" s="3472"/>
      <c r="R166" s="3472"/>
    </row>
    <row r="167" spans="1:18" s="3472" customFormat="1" hidden="1">
      <c r="A167" s="3916"/>
      <c r="B167" s="3907"/>
      <c r="C167" s="3897"/>
      <c r="D167" s="3920"/>
      <c r="E167" s="3572" t="s">
        <v>3696</v>
      </c>
      <c r="F167" s="3573">
        <v>44.95</v>
      </c>
      <c r="G167" s="3469">
        <v>8.18</v>
      </c>
      <c r="H167" s="3470" t="s">
        <v>3557</v>
      </c>
      <c r="I167" s="3549">
        <f ca="1">典型户型修正车!S148</f>
        <v>11</v>
      </c>
    </row>
    <row r="168" spans="1:18" s="3472" customFormat="1" hidden="1">
      <c r="A168" s="3916"/>
      <c r="B168" s="3907"/>
      <c r="C168" s="3897"/>
      <c r="D168" s="3920"/>
      <c r="E168" s="3572" t="s">
        <v>3456</v>
      </c>
      <c r="F168" s="3573">
        <v>44.95</v>
      </c>
      <c r="G168" s="3469">
        <v>8.18</v>
      </c>
      <c r="H168" s="3470" t="s">
        <v>3557</v>
      </c>
      <c r="I168" s="3549">
        <f ca="1">典型户型修正车!S149</f>
        <v>11</v>
      </c>
    </row>
    <row r="169" spans="1:18" s="3472" customFormat="1" hidden="1">
      <c r="A169" s="3916"/>
      <c r="B169" s="3907"/>
      <c r="C169" s="3897"/>
      <c r="D169" s="3920"/>
      <c r="E169" s="3572" t="s">
        <v>3457</v>
      </c>
      <c r="F169" s="3573">
        <v>44.95</v>
      </c>
      <c r="G169" s="3469">
        <v>8.18</v>
      </c>
      <c r="H169" s="3470" t="s">
        <v>3557</v>
      </c>
      <c r="I169" s="3549">
        <f ca="1">典型户型修正车!S150</f>
        <v>11</v>
      </c>
    </row>
    <row r="170" spans="1:18" s="3472" customFormat="1" hidden="1">
      <c r="A170" s="3916"/>
      <c r="B170" s="3907"/>
      <c r="C170" s="3897"/>
      <c r="D170" s="3920"/>
      <c r="E170" s="3572" t="s">
        <v>3452</v>
      </c>
      <c r="F170" s="3573">
        <v>44.95</v>
      </c>
      <c r="G170" s="3469">
        <v>8.18</v>
      </c>
      <c r="H170" s="3470" t="s">
        <v>3557</v>
      </c>
      <c r="I170" s="3549">
        <f ca="1">典型户型修正车!S151</f>
        <v>11</v>
      </c>
    </row>
    <row r="171" spans="1:18" s="3472" customFormat="1" hidden="1">
      <c r="A171" s="3916"/>
      <c r="B171" s="3907"/>
      <c r="C171" s="3897"/>
      <c r="D171" s="3920"/>
      <c r="E171" s="3572" t="s">
        <v>3697</v>
      </c>
      <c r="F171" s="3573">
        <v>44.95</v>
      </c>
      <c r="G171" s="3469">
        <v>8.18</v>
      </c>
      <c r="H171" s="3470" t="s">
        <v>3557</v>
      </c>
      <c r="I171" s="3549">
        <f ca="1">典型户型修正车!S152</f>
        <v>11</v>
      </c>
    </row>
    <row r="172" spans="1:18" s="3472" customFormat="1" hidden="1">
      <c r="A172" s="3916"/>
      <c r="B172" s="3907"/>
      <c r="C172" s="3897"/>
      <c r="D172" s="3920"/>
      <c r="E172" s="3572" t="s">
        <v>3453</v>
      </c>
      <c r="F172" s="3573">
        <v>44.95</v>
      </c>
      <c r="G172" s="3469">
        <v>8.18</v>
      </c>
      <c r="H172" s="3470" t="s">
        <v>3557</v>
      </c>
      <c r="I172" s="3549">
        <f ca="1">典型户型修正车!S153</f>
        <v>11</v>
      </c>
    </row>
    <row r="173" spans="1:18" s="3472" customFormat="1" hidden="1">
      <c r="A173" s="3916"/>
      <c r="B173" s="3907"/>
      <c r="C173" s="3897"/>
      <c r="D173" s="3920"/>
      <c r="E173" s="3572" t="s">
        <v>3698</v>
      </c>
      <c r="F173" s="3573">
        <v>44.95</v>
      </c>
      <c r="G173" s="3469">
        <v>8.18</v>
      </c>
      <c r="H173" s="3470" t="s">
        <v>3557</v>
      </c>
      <c r="I173" s="3549">
        <f ca="1">典型户型修正车!S154</f>
        <v>11</v>
      </c>
    </row>
    <row r="174" spans="1:18" s="3472" customFormat="1" hidden="1">
      <c r="A174" s="3916"/>
      <c r="B174" s="3907"/>
      <c r="C174" s="3897"/>
      <c r="D174" s="3920"/>
      <c r="E174" s="3572" t="s">
        <v>3699</v>
      </c>
      <c r="F174" s="3573">
        <v>44.95</v>
      </c>
      <c r="G174" s="3469">
        <v>8.18</v>
      </c>
      <c r="H174" s="3470" t="s">
        <v>3557</v>
      </c>
      <c r="I174" s="3549">
        <f ca="1">典型户型修正车!S155</f>
        <v>11</v>
      </c>
    </row>
    <row r="175" spans="1:18" s="3472" customFormat="1" hidden="1">
      <c r="A175" s="3916"/>
      <c r="B175" s="3907"/>
      <c r="C175" s="3897"/>
      <c r="D175" s="3920"/>
      <c r="E175" s="3572" t="s">
        <v>3700</v>
      </c>
      <c r="F175" s="3573">
        <v>44.95</v>
      </c>
      <c r="G175" s="3469">
        <v>8.18</v>
      </c>
      <c r="H175" s="3470" t="s">
        <v>3557</v>
      </c>
      <c r="I175" s="3549">
        <f ca="1">典型户型修正车!S156</f>
        <v>11</v>
      </c>
    </row>
    <row r="176" spans="1:18" s="3472" customFormat="1" hidden="1">
      <c r="A176" s="3916"/>
      <c r="B176" s="3907"/>
      <c r="C176" s="3897"/>
      <c r="D176" s="3920"/>
      <c r="E176" s="3572" t="s">
        <v>3454</v>
      </c>
      <c r="F176" s="3573">
        <v>44.95</v>
      </c>
      <c r="G176" s="3469">
        <v>8.18</v>
      </c>
      <c r="H176" s="3470" t="s">
        <v>3557</v>
      </c>
      <c r="I176" s="3549">
        <f ca="1">典型户型修正车!S157</f>
        <v>11</v>
      </c>
    </row>
    <row r="177" spans="1:9" s="3472" customFormat="1" hidden="1">
      <c r="A177" s="3916"/>
      <c r="B177" s="3907"/>
      <c r="C177" s="3897"/>
      <c r="D177" s="3920"/>
      <c r="E177" s="3572" t="s">
        <v>3701</v>
      </c>
      <c r="F177" s="3573">
        <v>67.42</v>
      </c>
      <c r="G177" s="3469">
        <v>12.27</v>
      </c>
      <c r="H177" s="3470" t="s">
        <v>3557</v>
      </c>
      <c r="I177" s="3549">
        <f ca="1">典型户型修正车!S158</f>
        <v>16</v>
      </c>
    </row>
    <row r="178" spans="1:9" s="3472" customFormat="1" hidden="1">
      <c r="A178" s="3916"/>
      <c r="B178" s="3907"/>
      <c r="C178" s="3897"/>
      <c r="D178" s="3920"/>
      <c r="E178" s="3572" t="s">
        <v>3702</v>
      </c>
      <c r="F178" s="3573">
        <v>49.03</v>
      </c>
      <c r="G178" s="3469">
        <v>8.93</v>
      </c>
      <c r="H178" s="3470" t="s">
        <v>3557</v>
      </c>
      <c r="I178" s="3549">
        <f ca="1">典型户型修正车!S159</f>
        <v>12</v>
      </c>
    </row>
    <row r="179" spans="1:9" s="3472" customFormat="1" hidden="1">
      <c r="A179" s="3916"/>
      <c r="B179" s="3907"/>
      <c r="C179" s="3897"/>
      <c r="D179" s="3920"/>
      <c r="E179" s="3572" t="s">
        <v>3703</v>
      </c>
      <c r="F179" s="3573">
        <v>49</v>
      </c>
      <c r="G179" s="3469">
        <v>8.92</v>
      </c>
      <c r="H179" s="3470" t="s">
        <v>3557</v>
      </c>
      <c r="I179" s="3549">
        <f ca="1">典型户型修正车!S160</f>
        <v>12</v>
      </c>
    </row>
    <row r="180" spans="1:9" s="3472" customFormat="1" hidden="1">
      <c r="A180" s="3916"/>
      <c r="B180" s="3907"/>
      <c r="C180" s="3897"/>
      <c r="D180" s="3920"/>
      <c r="E180" s="3572" t="s">
        <v>3704</v>
      </c>
      <c r="F180" s="3573">
        <v>49.03</v>
      </c>
      <c r="G180" s="3469">
        <v>8.93</v>
      </c>
      <c r="H180" s="3470" t="s">
        <v>3557</v>
      </c>
      <c r="I180" s="3549">
        <f ca="1">典型户型修正车!S161</f>
        <v>12</v>
      </c>
    </row>
    <row r="181" spans="1:9" s="3472" customFormat="1" hidden="1">
      <c r="A181" s="3916"/>
      <c r="B181" s="3907"/>
      <c r="C181" s="3897"/>
      <c r="D181" s="3920"/>
      <c r="E181" s="3572" t="s">
        <v>3705</v>
      </c>
      <c r="F181" s="3573">
        <v>44.95</v>
      </c>
      <c r="G181" s="3469">
        <v>8.18</v>
      </c>
      <c r="H181" s="3470" t="s">
        <v>3557</v>
      </c>
      <c r="I181" s="3549">
        <f ca="1">典型户型修正车!S162</f>
        <v>11</v>
      </c>
    </row>
    <row r="182" spans="1:9" s="3472" customFormat="1" hidden="1">
      <c r="A182" s="3916"/>
      <c r="B182" s="3907"/>
      <c r="C182" s="3897"/>
      <c r="D182" s="3920"/>
      <c r="E182" s="3572" t="s">
        <v>3706</v>
      </c>
      <c r="F182" s="3573">
        <v>44.95</v>
      </c>
      <c r="G182" s="3469">
        <v>8.18</v>
      </c>
      <c r="H182" s="3470" t="s">
        <v>3557</v>
      </c>
      <c r="I182" s="3549">
        <f ca="1">典型户型修正车!S163</f>
        <v>11</v>
      </c>
    </row>
    <row r="183" spans="1:9" s="3472" customFormat="1" hidden="1">
      <c r="A183" s="3916"/>
      <c r="B183" s="3907"/>
      <c r="C183" s="3897"/>
      <c r="D183" s="3920"/>
      <c r="E183" s="3572" t="s">
        <v>3707</v>
      </c>
      <c r="F183" s="3573">
        <v>44.95</v>
      </c>
      <c r="G183" s="3469">
        <v>8.18</v>
      </c>
      <c r="H183" s="3470" t="s">
        <v>3557</v>
      </c>
      <c r="I183" s="3549">
        <f ca="1">典型户型修正车!S164</f>
        <v>11</v>
      </c>
    </row>
    <row r="184" spans="1:9" s="3472" customFormat="1" hidden="1">
      <c r="A184" s="3916"/>
      <c r="B184" s="3907"/>
      <c r="C184" s="3897"/>
      <c r="D184" s="3920"/>
      <c r="E184" s="3572" t="s">
        <v>3708</v>
      </c>
      <c r="F184" s="3573">
        <v>44.95</v>
      </c>
      <c r="G184" s="3469">
        <v>8.18</v>
      </c>
      <c r="H184" s="3470" t="s">
        <v>3557</v>
      </c>
      <c r="I184" s="3549">
        <f ca="1">典型户型修正车!S165</f>
        <v>11</v>
      </c>
    </row>
    <row r="185" spans="1:9" s="3472" customFormat="1" hidden="1">
      <c r="A185" s="3916"/>
      <c r="B185" s="3918"/>
      <c r="C185" s="3897"/>
      <c r="D185" s="3920"/>
      <c r="E185" s="3572" t="s">
        <v>3709</v>
      </c>
      <c r="F185" s="3573">
        <v>44.95</v>
      </c>
      <c r="G185" s="3469">
        <v>8.18</v>
      </c>
      <c r="H185" s="3470" t="s">
        <v>3557</v>
      </c>
      <c r="I185" s="3549">
        <f ca="1">典型户型修正车!S166</f>
        <v>11</v>
      </c>
    </row>
    <row r="186" spans="1:9" s="3472" customFormat="1" hidden="1">
      <c r="A186" s="3916"/>
      <c r="B186" s="3906" t="s">
        <v>3553</v>
      </c>
      <c r="C186" s="3897" t="s">
        <v>3554</v>
      </c>
      <c r="D186" s="3920" t="s">
        <v>3555</v>
      </c>
      <c r="E186" s="3572" t="s">
        <v>3710</v>
      </c>
      <c r="F186" s="3573">
        <v>44.95</v>
      </c>
      <c r="G186" s="3469">
        <v>8.18</v>
      </c>
      <c r="H186" s="3470" t="s">
        <v>3557</v>
      </c>
      <c r="I186" s="3549">
        <f ca="1">典型户型修正车!S167</f>
        <v>11</v>
      </c>
    </row>
    <row r="187" spans="1:9" s="3472" customFormat="1" hidden="1">
      <c r="A187" s="3916"/>
      <c r="B187" s="3907"/>
      <c r="C187" s="3897"/>
      <c r="D187" s="3920"/>
      <c r="E187" s="3572" t="s">
        <v>3711</v>
      </c>
      <c r="F187" s="3573">
        <v>44.95</v>
      </c>
      <c r="G187" s="3469">
        <v>8.18</v>
      </c>
      <c r="H187" s="3470" t="s">
        <v>3557</v>
      </c>
      <c r="I187" s="3549">
        <f ca="1">典型户型修正车!S168</f>
        <v>11</v>
      </c>
    </row>
    <row r="188" spans="1:9" s="3472" customFormat="1" hidden="1">
      <c r="A188" s="3916"/>
      <c r="B188" s="3907"/>
      <c r="C188" s="3897"/>
      <c r="D188" s="3920"/>
      <c r="E188" s="3572" t="s">
        <v>3712</v>
      </c>
      <c r="F188" s="3573">
        <v>44.95</v>
      </c>
      <c r="G188" s="3469">
        <v>8.18</v>
      </c>
      <c r="H188" s="3470" t="s">
        <v>3557</v>
      </c>
      <c r="I188" s="3549">
        <f ca="1">典型户型修正车!S169</f>
        <v>11</v>
      </c>
    </row>
    <row r="189" spans="1:9" s="3472" customFormat="1" hidden="1">
      <c r="A189" s="3916"/>
      <c r="B189" s="3907"/>
      <c r="C189" s="3897"/>
      <c r="D189" s="3920"/>
      <c r="E189" s="3572" t="s">
        <v>3713</v>
      </c>
      <c r="F189" s="3573">
        <v>44.95</v>
      </c>
      <c r="G189" s="3469">
        <v>8.18</v>
      </c>
      <c r="H189" s="3470" t="s">
        <v>3557</v>
      </c>
      <c r="I189" s="3549">
        <f ca="1">典型户型修正车!S170</f>
        <v>11</v>
      </c>
    </row>
    <row r="190" spans="1:9" s="3472" customFormat="1" hidden="1">
      <c r="A190" s="3916"/>
      <c r="B190" s="3907"/>
      <c r="C190" s="3897"/>
      <c r="D190" s="3920"/>
      <c r="E190" s="3572" t="s">
        <v>3714</v>
      </c>
      <c r="F190" s="3573">
        <v>44.95</v>
      </c>
      <c r="G190" s="3469">
        <v>8.18</v>
      </c>
      <c r="H190" s="3470" t="s">
        <v>3557</v>
      </c>
      <c r="I190" s="3549">
        <f ca="1">典型户型修正车!S171</f>
        <v>11</v>
      </c>
    </row>
    <row r="191" spans="1:9" s="3472" customFormat="1" hidden="1">
      <c r="A191" s="3916"/>
      <c r="B191" s="3907"/>
      <c r="C191" s="3897"/>
      <c r="D191" s="3920"/>
      <c r="E191" s="3572" t="s">
        <v>3715</v>
      </c>
      <c r="F191" s="3573">
        <v>44.95</v>
      </c>
      <c r="G191" s="3469">
        <v>8.18</v>
      </c>
      <c r="H191" s="3470" t="s">
        <v>3557</v>
      </c>
      <c r="I191" s="3549">
        <f ca="1">典型户型修正车!S172</f>
        <v>11</v>
      </c>
    </row>
    <row r="192" spans="1:9" s="3472" customFormat="1" hidden="1">
      <c r="A192" s="3916"/>
      <c r="B192" s="3907"/>
      <c r="C192" s="3897"/>
      <c r="D192" s="3920"/>
      <c r="E192" s="3572" t="s">
        <v>3716</v>
      </c>
      <c r="F192" s="3573">
        <v>44.95</v>
      </c>
      <c r="G192" s="3469">
        <v>8.18</v>
      </c>
      <c r="H192" s="3470" t="s">
        <v>3557</v>
      </c>
      <c r="I192" s="3549">
        <f ca="1">典型户型修正车!S173</f>
        <v>11</v>
      </c>
    </row>
    <row r="193" spans="1:9" s="3472" customFormat="1" hidden="1">
      <c r="A193" s="3916"/>
      <c r="B193" s="3907"/>
      <c r="C193" s="3897"/>
      <c r="D193" s="3920"/>
      <c r="E193" s="3572" t="s">
        <v>3717</v>
      </c>
      <c r="F193" s="3573">
        <v>44.95</v>
      </c>
      <c r="G193" s="3469">
        <v>8.18</v>
      </c>
      <c r="H193" s="3470" t="s">
        <v>3557</v>
      </c>
      <c r="I193" s="3549">
        <f ca="1">典型户型修正车!S174</f>
        <v>11</v>
      </c>
    </row>
    <row r="194" spans="1:9" s="3472" customFormat="1" hidden="1">
      <c r="A194" s="3916"/>
      <c r="B194" s="3907"/>
      <c r="C194" s="3897"/>
      <c r="D194" s="3920"/>
      <c r="E194" s="3572" t="s">
        <v>3718</v>
      </c>
      <c r="F194" s="3573">
        <v>44.95</v>
      </c>
      <c r="G194" s="3469">
        <v>8.18</v>
      </c>
      <c r="H194" s="3470" t="s">
        <v>3557</v>
      </c>
      <c r="I194" s="3549">
        <f ca="1">典型户型修正车!S175</f>
        <v>11</v>
      </c>
    </row>
    <row r="195" spans="1:9" s="3472" customFormat="1" hidden="1">
      <c r="A195" s="3916"/>
      <c r="B195" s="3907"/>
      <c r="C195" s="3897"/>
      <c r="D195" s="3920"/>
      <c r="E195" s="3572" t="s">
        <v>3720</v>
      </c>
      <c r="F195" s="3573">
        <v>44.95</v>
      </c>
      <c r="G195" s="3469">
        <v>8.18</v>
      </c>
      <c r="H195" s="3470" t="s">
        <v>3557</v>
      </c>
      <c r="I195" s="3549">
        <f ca="1">典型户型修正车!S176</f>
        <v>11</v>
      </c>
    </row>
    <row r="196" spans="1:9" s="3472" customFormat="1" hidden="1">
      <c r="A196" s="3916"/>
      <c r="B196" s="3907"/>
      <c r="C196" s="3897"/>
      <c r="D196" s="3920"/>
      <c r="E196" s="3572" t="s">
        <v>3721</v>
      </c>
      <c r="F196" s="3573">
        <v>44.95</v>
      </c>
      <c r="G196" s="3469">
        <v>8.18</v>
      </c>
      <c r="H196" s="3470" t="s">
        <v>3557</v>
      </c>
      <c r="I196" s="3549">
        <f ca="1">典型户型修正车!S177</f>
        <v>11</v>
      </c>
    </row>
    <row r="197" spans="1:9" s="3472" customFormat="1" hidden="1">
      <c r="A197" s="3916"/>
      <c r="B197" s="3907"/>
      <c r="C197" s="3897"/>
      <c r="D197" s="3920"/>
      <c r="E197" s="3572" t="s">
        <v>3722</v>
      </c>
      <c r="F197" s="3573">
        <v>44.95</v>
      </c>
      <c r="G197" s="3469">
        <v>8.18</v>
      </c>
      <c r="H197" s="3470" t="s">
        <v>3557</v>
      </c>
      <c r="I197" s="3549">
        <f ca="1">典型户型修正车!S178</f>
        <v>11</v>
      </c>
    </row>
    <row r="198" spans="1:9" s="3472" customFormat="1" hidden="1">
      <c r="A198" s="3916"/>
      <c r="B198" s="3907"/>
      <c r="C198" s="3897"/>
      <c r="D198" s="3920"/>
      <c r="E198" s="3572" t="s">
        <v>3723</v>
      </c>
      <c r="F198" s="3573">
        <v>44.95</v>
      </c>
      <c r="G198" s="3469">
        <v>8.18</v>
      </c>
      <c r="H198" s="3470" t="s">
        <v>3557</v>
      </c>
      <c r="I198" s="3549">
        <f ca="1">典型户型修正车!S179</f>
        <v>11</v>
      </c>
    </row>
    <row r="199" spans="1:9" s="3472" customFormat="1" hidden="1">
      <c r="A199" s="3916"/>
      <c r="B199" s="3907"/>
      <c r="C199" s="3897"/>
      <c r="D199" s="3920"/>
      <c r="E199" s="3572" t="s">
        <v>3724</v>
      </c>
      <c r="F199" s="3573">
        <v>44.95</v>
      </c>
      <c r="G199" s="3469">
        <v>8.18</v>
      </c>
      <c r="H199" s="3470" t="s">
        <v>3557</v>
      </c>
      <c r="I199" s="3549">
        <f ca="1">典型户型修正车!S180</f>
        <v>11</v>
      </c>
    </row>
    <row r="200" spans="1:9" s="3472" customFormat="1" hidden="1">
      <c r="A200" s="3916"/>
      <c r="B200" s="3907"/>
      <c r="C200" s="3897"/>
      <c r="D200" s="3920"/>
      <c r="E200" s="3572" t="s">
        <v>3725</v>
      </c>
      <c r="F200" s="3573">
        <v>44.95</v>
      </c>
      <c r="G200" s="3469">
        <v>8.18</v>
      </c>
      <c r="H200" s="3470" t="s">
        <v>3557</v>
      </c>
      <c r="I200" s="3549">
        <f ca="1">典型户型修正车!S181</f>
        <v>11</v>
      </c>
    </row>
    <row r="201" spans="1:9" s="3472" customFormat="1" hidden="1">
      <c r="A201" s="3916"/>
      <c r="B201" s="3907"/>
      <c r="C201" s="3897"/>
      <c r="D201" s="3920"/>
      <c r="E201" s="3587" t="s">
        <v>3726</v>
      </c>
      <c r="F201" s="3573">
        <v>44.95</v>
      </c>
      <c r="G201" s="3469">
        <v>8.18</v>
      </c>
      <c r="H201" s="3470" t="s">
        <v>3557</v>
      </c>
      <c r="I201" s="3549">
        <f ca="1">典型户型修正车!S182</f>
        <v>11</v>
      </c>
    </row>
    <row r="202" spans="1:9" s="3472" customFormat="1" hidden="1">
      <c r="A202" s="3916"/>
      <c r="B202" s="3907"/>
      <c r="C202" s="3897"/>
      <c r="D202" s="3920"/>
      <c r="E202" s="3572" t="s">
        <v>3727</v>
      </c>
      <c r="F202" s="3573">
        <v>44.95</v>
      </c>
      <c r="G202" s="3469">
        <v>8.18</v>
      </c>
      <c r="H202" s="3470" t="s">
        <v>3557</v>
      </c>
      <c r="I202" s="3549">
        <f ca="1">典型户型修正车!S183</f>
        <v>11</v>
      </c>
    </row>
    <row r="203" spans="1:9" s="3472" customFormat="1" hidden="1">
      <c r="A203" s="3916"/>
      <c r="B203" s="3907"/>
      <c r="C203" s="3897"/>
      <c r="D203" s="3920"/>
      <c r="E203" s="3572" t="s">
        <v>3728</v>
      </c>
      <c r="F203" s="3573">
        <v>44.95</v>
      </c>
      <c r="G203" s="3469">
        <v>8.18</v>
      </c>
      <c r="H203" s="3470" t="s">
        <v>3557</v>
      </c>
      <c r="I203" s="3549">
        <f ca="1">典型户型修正车!S184</f>
        <v>11</v>
      </c>
    </row>
    <row r="204" spans="1:9" s="3472" customFormat="1" hidden="1">
      <c r="A204" s="3916"/>
      <c r="B204" s="3907"/>
      <c r="C204" s="3897"/>
      <c r="D204" s="3920"/>
      <c r="E204" s="3572" t="s">
        <v>3729</v>
      </c>
      <c r="F204" s="3573">
        <v>44.95</v>
      </c>
      <c r="G204" s="3469">
        <v>8.18</v>
      </c>
      <c r="H204" s="3470" t="s">
        <v>3557</v>
      </c>
      <c r="I204" s="3549">
        <f ca="1">典型户型修正车!S185</f>
        <v>11</v>
      </c>
    </row>
    <row r="205" spans="1:9" s="3472" customFormat="1" hidden="1">
      <c r="A205" s="3916"/>
      <c r="B205" s="3907"/>
      <c r="C205" s="3897"/>
      <c r="D205" s="3920"/>
      <c r="E205" s="3587" t="s">
        <v>3730</v>
      </c>
      <c r="F205" s="3573">
        <v>44.95</v>
      </c>
      <c r="G205" s="3469">
        <v>8.18</v>
      </c>
      <c r="H205" s="3470" t="s">
        <v>3557</v>
      </c>
      <c r="I205" s="3549">
        <f ca="1">典型户型修正车!S186</f>
        <v>11</v>
      </c>
    </row>
    <row r="206" spans="1:9" s="3472" customFormat="1" hidden="1">
      <c r="A206" s="3916"/>
      <c r="B206" s="3907"/>
      <c r="C206" s="3897"/>
      <c r="D206" s="3920"/>
      <c r="E206" s="3587" t="s">
        <v>3731</v>
      </c>
      <c r="F206" s="3573">
        <v>44.95</v>
      </c>
      <c r="G206" s="3469">
        <v>8.18</v>
      </c>
      <c r="H206" s="3470" t="s">
        <v>3557</v>
      </c>
      <c r="I206" s="3549">
        <f ca="1">典型户型修正车!S187</f>
        <v>11</v>
      </c>
    </row>
    <row r="207" spans="1:9" s="3472" customFormat="1" hidden="1">
      <c r="A207" s="3916"/>
      <c r="B207" s="3907"/>
      <c r="C207" s="3897"/>
      <c r="D207" s="3920"/>
      <c r="E207" s="3587" t="s">
        <v>3732</v>
      </c>
      <c r="F207" s="3573">
        <v>67.42</v>
      </c>
      <c r="G207" s="3469">
        <v>12.27</v>
      </c>
      <c r="H207" s="3470" t="s">
        <v>3557</v>
      </c>
      <c r="I207" s="3549">
        <f ca="1">典型户型修正车!S188</f>
        <v>16</v>
      </c>
    </row>
    <row r="208" spans="1:9" s="3472" customFormat="1" hidden="1">
      <c r="A208" s="3916"/>
      <c r="B208" s="3907"/>
      <c r="C208" s="3897"/>
      <c r="D208" s="3920"/>
      <c r="E208" s="3587" t="s">
        <v>3733</v>
      </c>
      <c r="F208" s="3573">
        <v>44.95</v>
      </c>
      <c r="G208" s="3469">
        <v>8.18</v>
      </c>
      <c r="H208" s="3470" t="s">
        <v>3557</v>
      </c>
      <c r="I208" s="3549">
        <f ca="1">典型户型修正车!S189</f>
        <v>11</v>
      </c>
    </row>
    <row r="209" spans="1:18" s="3472" customFormat="1" hidden="1">
      <c r="A209" s="3916"/>
      <c r="B209" s="3907"/>
      <c r="C209" s="3897"/>
      <c r="D209" s="3920"/>
      <c r="E209" s="3587" t="s">
        <v>3734</v>
      </c>
      <c r="F209" s="3573">
        <v>44.95</v>
      </c>
      <c r="G209" s="3469">
        <v>8.18</v>
      </c>
      <c r="H209" s="3470" t="s">
        <v>3557</v>
      </c>
      <c r="I209" s="3549">
        <f ca="1">典型户型修正车!S190</f>
        <v>11</v>
      </c>
    </row>
    <row r="210" spans="1:18" s="3472" customFormat="1" hidden="1">
      <c r="A210" s="3916"/>
      <c r="B210" s="3907"/>
      <c r="C210" s="3897"/>
      <c r="D210" s="3920"/>
      <c r="E210" s="3587" t="s">
        <v>3735</v>
      </c>
      <c r="F210" s="3573">
        <v>67.42</v>
      </c>
      <c r="G210" s="3469">
        <v>12.27</v>
      </c>
      <c r="H210" s="3470" t="s">
        <v>3557</v>
      </c>
      <c r="I210" s="3549">
        <f ca="1">典型户型修正车!S191</f>
        <v>16</v>
      </c>
    </row>
    <row r="211" spans="1:18" s="3472" customFormat="1" hidden="1">
      <c r="A211" s="3916"/>
      <c r="B211" s="3907"/>
      <c r="C211" s="3897"/>
      <c r="D211" s="3920"/>
      <c r="E211" s="3587" t="s">
        <v>3736</v>
      </c>
      <c r="F211" s="3573">
        <v>44.95</v>
      </c>
      <c r="G211" s="3469">
        <v>8.18</v>
      </c>
      <c r="H211" s="3470" t="s">
        <v>3557</v>
      </c>
      <c r="I211" s="3549">
        <f ca="1">典型户型修正车!S192</f>
        <v>11</v>
      </c>
      <c r="M211" s="3512"/>
      <c r="N211" s="3512"/>
      <c r="O211" s="3512"/>
      <c r="P211" s="3512"/>
      <c r="Q211" s="3512"/>
      <c r="R211" s="3512"/>
    </row>
    <row r="212" spans="1:18" s="3472" customFormat="1" hidden="1">
      <c r="A212" s="3916"/>
      <c r="B212" s="3907"/>
      <c r="C212" s="3897"/>
      <c r="D212" s="3920"/>
      <c r="E212" s="3587" t="s">
        <v>3737</v>
      </c>
      <c r="F212" s="3573">
        <v>67.42</v>
      </c>
      <c r="G212" s="3469">
        <v>12.27</v>
      </c>
      <c r="H212" s="3470" t="s">
        <v>3557</v>
      </c>
      <c r="I212" s="3549">
        <f ca="1">典型户型修正车!S193</f>
        <v>16</v>
      </c>
      <c r="M212" s="3467"/>
      <c r="N212" s="3467"/>
      <c r="O212" s="3467"/>
      <c r="P212" s="3467"/>
      <c r="Q212" s="3467"/>
      <c r="R212" s="3467"/>
    </row>
    <row r="213" spans="1:18" s="3472" customFormat="1" hidden="1">
      <c r="A213" s="3916"/>
      <c r="B213" s="3907"/>
      <c r="C213" s="3897"/>
      <c r="D213" s="3920"/>
      <c r="E213" s="3587" t="s">
        <v>3738</v>
      </c>
      <c r="F213" s="3573">
        <v>44.95</v>
      </c>
      <c r="G213" s="3469">
        <v>8.18</v>
      </c>
      <c r="H213" s="3470" t="s">
        <v>3557</v>
      </c>
      <c r="I213" s="3549">
        <f ca="1">典型户型修正车!S194</f>
        <v>11</v>
      </c>
      <c r="M213" s="3467"/>
      <c r="N213" s="3467"/>
      <c r="O213" s="3467"/>
      <c r="P213" s="3467"/>
      <c r="Q213" s="3467"/>
      <c r="R213" s="3467"/>
    </row>
    <row r="214" spans="1:18" s="3472" customFormat="1" hidden="1">
      <c r="A214" s="3916"/>
      <c r="B214" s="3907"/>
      <c r="C214" s="3897"/>
      <c r="D214" s="3920"/>
      <c r="E214" s="3587" t="s">
        <v>3739</v>
      </c>
      <c r="F214" s="3573">
        <v>44.95</v>
      </c>
      <c r="G214" s="3469">
        <v>8.18</v>
      </c>
      <c r="H214" s="3470" t="s">
        <v>3557</v>
      </c>
      <c r="I214" s="3549">
        <f ca="1">典型户型修正车!S195</f>
        <v>11</v>
      </c>
      <c r="M214" s="3467"/>
      <c r="N214" s="3467"/>
      <c r="O214" s="3467"/>
      <c r="P214" s="3467"/>
      <c r="Q214" s="3467"/>
      <c r="R214" s="3467"/>
    </row>
    <row r="215" spans="1:18" s="3472" customFormat="1" hidden="1">
      <c r="A215" s="3916"/>
      <c r="B215" s="3907"/>
      <c r="C215" s="3897"/>
      <c r="D215" s="3920"/>
      <c r="E215" s="3587" t="s">
        <v>3740</v>
      </c>
      <c r="F215" s="3573">
        <v>44.95</v>
      </c>
      <c r="G215" s="3469">
        <v>8.18</v>
      </c>
      <c r="H215" s="3470" t="s">
        <v>3557</v>
      </c>
      <c r="I215" s="3549">
        <f ca="1">典型户型修正车!S196</f>
        <v>11</v>
      </c>
      <c r="M215" s="3467"/>
      <c r="N215" s="3467"/>
      <c r="O215" s="3467"/>
      <c r="P215" s="3467"/>
      <c r="Q215" s="3467"/>
      <c r="R215" s="3467"/>
    </row>
    <row r="216" spans="1:18" s="3472" customFormat="1" hidden="1">
      <c r="A216" s="3916"/>
      <c r="B216" s="3907"/>
      <c r="C216" s="3897"/>
      <c r="D216" s="3920"/>
      <c r="E216" s="3587" t="s">
        <v>3741</v>
      </c>
      <c r="F216" s="3573">
        <v>44.95</v>
      </c>
      <c r="G216" s="3469">
        <v>8.18</v>
      </c>
      <c r="H216" s="3470" t="s">
        <v>3557</v>
      </c>
      <c r="I216" s="3549">
        <f ca="1">典型户型修正车!S197</f>
        <v>11</v>
      </c>
      <c r="M216" s="3467"/>
      <c r="N216" s="3467"/>
      <c r="O216" s="3467"/>
      <c r="P216" s="3467"/>
      <c r="Q216" s="3467"/>
      <c r="R216" s="3467"/>
    </row>
    <row r="217" spans="1:18" s="3472" customFormat="1" hidden="1">
      <c r="A217" s="3912" t="s">
        <v>3526</v>
      </c>
      <c r="B217" s="3913"/>
      <c r="C217" s="3913"/>
      <c r="D217" s="3913"/>
      <c r="E217" s="3914"/>
      <c r="F217" s="3520">
        <f>SUM(F38:F216)</f>
        <v>9059.3799999999901</v>
      </c>
      <c r="G217" s="3466">
        <f>SUM(G38:G216)</f>
        <v>1649.0100000000018</v>
      </c>
      <c r="H217" s="3506"/>
      <c r="I217" s="3520">
        <f ca="1">SUM(I38:I216)</f>
        <v>1907</v>
      </c>
      <c r="M217" s="3467"/>
      <c r="N217" s="3467"/>
      <c r="O217" s="3467"/>
      <c r="P217" s="3467"/>
      <c r="Q217" s="3467"/>
      <c r="R217" s="3467"/>
    </row>
    <row r="218" spans="1:18" s="3512" customFormat="1" ht="26.25">
      <c r="A218" s="3510" t="s">
        <v>3437</v>
      </c>
      <c r="B218" s="3510" t="s">
        <v>3438</v>
      </c>
      <c r="C218" s="3510" t="s">
        <v>3439</v>
      </c>
      <c r="D218" s="3510" t="s">
        <v>3440</v>
      </c>
      <c r="E218" s="3510" t="s">
        <v>3441</v>
      </c>
      <c r="F218" s="3520" t="s">
        <v>3442</v>
      </c>
      <c r="G218" s="3511" t="s">
        <v>3443</v>
      </c>
      <c r="H218" s="3510" t="s">
        <v>3444</v>
      </c>
      <c r="I218" s="3551"/>
      <c r="M218" s="3467"/>
      <c r="N218" s="3467"/>
      <c r="O218" s="3467"/>
      <c r="P218" s="3467"/>
      <c r="Q218" s="3467"/>
      <c r="R218" s="3467"/>
    </row>
    <row r="219" spans="1:18">
      <c r="A219" s="3915">
        <v>1</v>
      </c>
      <c r="B219" s="3906" t="s">
        <v>3742</v>
      </c>
      <c r="C219" s="3906" t="s">
        <v>3743</v>
      </c>
      <c r="D219" s="3908" t="s">
        <v>3525</v>
      </c>
      <c r="E219" s="3621">
        <v>101</v>
      </c>
      <c r="F219" s="3621">
        <v>244.44</v>
      </c>
      <c r="G219" s="3621">
        <v>39.659999999999997</v>
      </c>
      <c r="H219" s="3624" t="s">
        <v>673</v>
      </c>
      <c r="I219" s="3625">
        <f ca="1">典型户型修正!S24</f>
        <v>991</v>
      </c>
    </row>
    <row r="220" spans="1:18">
      <c r="A220" s="3916"/>
      <c r="B220" s="3907"/>
      <c r="C220" s="3907"/>
      <c r="D220" s="3909"/>
      <c r="E220" s="3509">
        <v>102</v>
      </c>
      <c r="F220" s="3522">
        <v>144.12</v>
      </c>
      <c r="G220" s="3509">
        <v>23.39</v>
      </c>
      <c r="H220" s="3513" t="s">
        <v>673</v>
      </c>
      <c r="I220" s="3546">
        <f ca="1">典型户型修正!S45</f>
        <v>590</v>
      </c>
    </row>
    <row r="221" spans="1:18">
      <c r="A221" s="3916"/>
      <c r="B221" s="3907"/>
      <c r="C221" s="3907"/>
      <c r="D221" s="3909"/>
      <c r="E221" s="3509">
        <v>103</v>
      </c>
      <c r="F221" s="3522">
        <v>263.58</v>
      </c>
      <c r="G221" s="3509">
        <v>42.75</v>
      </c>
      <c r="H221" s="3513" t="s">
        <v>673</v>
      </c>
      <c r="I221" s="3546">
        <f ca="1">典型户型修正!S46</f>
        <v>1068</v>
      </c>
    </row>
    <row r="222" spans="1:18">
      <c r="A222" s="3916"/>
      <c r="B222" s="3907"/>
      <c r="C222" s="3907"/>
      <c r="D222" s="3909"/>
      <c r="E222" s="3509">
        <v>201</v>
      </c>
      <c r="F222" s="3522">
        <v>781.63</v>
      </c>
      <c r="G222" s="3509">
        <v>126.8</v>
      </c>
      <c r="H222" s="3513" t="s">
        <v>673</v>
      </c>
      <c r="I222" s="3546">
        <f ca="1">典型户型修正!S47</f>
        <v>2328</v>
      </c>
    </row>
    <row r="223" spans="1:18">
      <c r="A223" s="3916"/>
      <c r="B223" s="3907"/>
      <c r="C223" s="3907"/>
      <c r="D223" s="3909"/>
      <c r="E223" s="3509">
        <v>301</v>
      </c>
      <c r="F223" s="3522">
        <v>1349.46</v>
      </c>
      <c r="G223" s="3509">
        <v>218.89</v>
      </c>
      <c r="H223" s="3513" t="s">
        <v>21</v>
      </c>
      <c r="I223" s="3546">
        <f ca="1">典型户型修正办!S49</f>
        <v>3021</v>
      </c>
    </row>
    <row r="224" spans="1:18">
      <c r="A224" s="3916"/>
      <c r="B224" s="3907"/>
      <c r="C224" s="3907"/>
      <c r="D224" s="3909"/>
      <c r="E224" s="3509">
        <v>401</v>
      </c>
      <c r="F224" s="3522">
        <v>1349.46</v>
      </c>
      <c r="G224" s="3509">
        <v>218.89</v>
      </c>
      <c r="H224" s="3513" t="s">
        <v>21</v>
      </c>
      <c r="I224" s="3546">
        <f ca="1">典型户型修正办!S50</f>
        <v>3021</v>
      </c>
    </row>
    <row r="225" spans="1:18">
      <c r="A225" s="3916"/>
      <c r="B225" s="3907"/>
      <c r="C225" s="3907"/>
      <c r="D225" s="3909"/>
      <c r="E225" s="3509">
        <v>501</v>
      </c>
      <c r="F225" s="3522">
        <v>1349.46</v>
      </c>
      <c r="G225" s="3509">
        <v>218.89</v>
      </c>
      <c r="H225" s="3513" t="s">
        <v>21</v>
      </c>
      <c r="I225" s="3546">
        <f ca="1">典型户型修正办!S51</f>
        <v>3021</v>
      </c>
      <c r="M225" s="3472"/>
      <c r="N225" s="3472"/>
      <c r="O225" s="3472"/>
      <c r="P225" s="3472"/>
      <c r="Q225" s="3472"/>
      <c r="R225" s="3472"/>
    </row>
    <row r="226" spans="1:18">
      <c r="A226" s="3916"/>
      <c r="B226" s="3907"/>
      <c r="C226" s="3907"/>
      <c r="D226" s="3909"/>
      <c r="E226" s="3509">
        <v>601</v>
      </c>
      <c r="F226" s="3522">
        <v>1349.46</v>
      </c>
      <c r="G226" s="3509">
        <v>218.89</v>
      </c>
      <c r="H226" s="3513" t="s">
        <v>21</v>
      </c>
      <c r="I226" s="3546">
        <f ca="1">典型户型修正办!S52</f>
        <v>3021</v>
      </c>
      <c r="M226" s="3472"/>
      <c r="N226" s="3472"/>
      <c r="O226" s="3472"/>
      <c r="P226" s="3472"/>
      <c r="Q226" s="3472"/>
      <c r="R226" s="3472"/>
    </row>
    <row r="227" spans="1:18">
      <c r="A227" s="3916"/>
      <c r="B227" s="3907"/>
      <c r="C227" s="3907"/>
      <c r="D227" s="3909"/>
      <c r="E227" s="3509">
        <v>701</v>
      </c>
      <c r="F227" s="3522">
        <v>1349.46</v>
      </c>
      <c r="G227" s="3509">
        <v>218.89</v>
      </c>
      <c r="H227" s="3513" t="s">
        <v>21</v>
      </c>
      <c r="I227" s="3546">
        <f ca="1">典型户型修正办!S53</f>
        <v>3021</v>
      </c>
      <c r="M227" s="3472"/>
      <c r="N227" s="3472"/>
      <c r="O227" s="3472"/>
      <c r="P227" s="3472"/>
      <c r="Q227" s="3472"/>
      <c r="R227" s="3472"/>
    </row>
    <row r="228" spans="1:18">
      <c r="A228" s="3916"/>
      <c r="B228" s="3907"/>
      <c r="C228" s="3907"/>
      <c r="D228" s="3909"/>
      <c r="E228" s="3505">
        <v>801</v>
      </c>
      <c r="F228" s="3515">
        <v>1349.46</v>
      </c>
      <c r="G228" s="3509">
        <v>218.89</v>
      </c>
      <c r="H228" s="3513" t="s">
        <v>21</v>
      </c>
      <c r="I228" s="3546">
        <f ca="1">典型户型修正办!S54</f>
        <v>3112</v>
      </c>
      <c r="M228" s="3472"/>
      <c r="N228" s="3472"/>
      <c r="O228" s="3472"/>
      <c r="P228" s="3472"/>
      <c r="Q228" s="3472"/>
      <c r="R228" s="3472"/>
    </row>
    <row r="229" spans="1:18">
      <c r="A229" s="3916"/>
      <c r="B229" s="3907"/>
      <c r="C229" s="3907"/>
      <c r="D229" s="3909"/>
      <c r="E229" s="3505">
        <v>901</v>
      </c>
      <c r="F229" s="3515">
        <v>1349.46</v>
      </c>
      <c r="G229" s="3509">
        <v>218.89</v>
      </c>
      <c r="H229" s="3513" t="s">
        <v>21</v>
      </c>
      <c r="I229" s="3546">
        <f ca="1">典型户型修正办!S55</f>
        <v>3112</v>
      </c>
      <c r="M229" s="3472"/>
      <c r="N229" s="3472"/>
      <c r="O229" s="3472"/>
      <c r="P229" s="3472"/>
      <c r="Q229" s="3472"/>
      <c r="R229" s="3472"/>
    </row>
    <row r="230" spans="1:18">
      <c r="A230" s="3917"/>
      <c r="B230" s="3918"/>
      <c r="C230" s="3918"/>
      <c r="D230" s="3919"/>
      <c r="E230" s="3505">
        <v>1001</v>
      </c>
      <c r="F230" s="3515">
        <v>1349.46</v>
      </c>
      <c r="G230" s="3509">
        <v>218.89</v>
      </c>
      <c r="H230" s="3513" t="s">
        <v>21</v>
      </c>
      <c r="I230" s="3546">
        <f ca="1">典型户型修正办!S56</f>
        <v>3112</v>
      </c>
      <c r="M230" s="3472"/>
      <c r="N230" s="3472"/>
      <c r="O230" s="3472"/>
      <c r="P230" s="3472"/>
      <c r="Q230" s="3472"/>
      <c r="R230" s="3472"/>
    </row>
    <row r="231" spans="1:18">
      <c r="A231" s="3902" t="s">
        <v>3526</v>
      </c>
      <c r="B231" s="3902"/>
      <c r="C231" s="3902"/>
      <c r="D231" s="3902"/>
      <c r="E231" s="3902"/>
      <c r="F231" s="3520">
        <f>SUM(F219:F230)</f>
        <v>12229.45</v>
      </c>
      <c r="G231" s="3466">
        <f>SUM(G219:G230)</f>
        <v>1983.7199999999993</v>
      </c>
      <c r="H231" s="3506"/>
      <c r="I231" s="3520">
        <f ca="1">SUM(I219:I230)</f>
        <v>29418</v>
      </c>
      <c r="M231" s="3472"/>
      <c r="N231" s="3472"/>
      <c r="O231" s="3472"/>
      <c r="P231" s="3472"/>
      <c r="Q231" s="3472"/>
      <c r="R231" s="3472"/>
    </row>
    <row r="232" spans="1:18" s="3472" customFormat="1">
      <c r="A232" s="3915">
        <v>2</v>
      </c>
      <c r="B232" s="3906" t="s">
        <v>3744</v>
      </c>
      <c r="C232" s="3906" t="s">
        <v>3745</v>
      </c>
      <c r="D232" s="3908" t="s">
        <v>3445</v>
      </c>
      <c r="E232" s="3509" t="s">
        <v>3534</v>
      </c>
      <c r="F232" s="3522">
        <v>327.87</v>
      </c>
      <c r="G232" s="3509">
        <v>53.18</v>
      </c>
      <c r="H232" s="3513" t="s">
        <v>21</v>
      </c>
      <c r="I232" s="3546">
        <f ca="1">典型户型修正办!S58</f>
        <v>749</v>
      </c>
    </row>
    <row r="233" spans="1:18" s="3472" customFormat="1">
      <c r="A233" s="3916"/>
      <c r="B233" s="3907"/>
      <c r="C233" s="3907"/>
      <c r="D233" s="3909"/>
      <c r="E233" s="3509" t="s">
        <v>3746</v>
      </c>
      <c r="F233" s="3522">
        <v>333.93</v>
      </c>
      <c r="G233" s="3509">
        <v>54.17</v>
      </c>
      <c r="H233" s="3513" t="s">
        <v>21</v>
      </c>
      <c r="I233" s="3546">
        <f ca="1">典型户型修正办!S59</f>
        <v>763</v>
      </c>
    </row>
    <row r="234" spans="1:18" s="3472" customFormat="1">
      <c r="A234" s="3916"/>
      <c r="B234" s="3907"/>
      <c r="C234" s="3907"/>
      <c r="D234" s="3909"/>
      <c r="E234" s="3509" t="s">
        <v>3747</v>
      </c>
      <c r="F234" s="3522">
        <v>1402.63</v>
      </c>
      <c r="G234" s="3509">
        <v>227.52</v>
      </c>
      <c r="H234" s="3513" t="s">
        <v>21</v>
      </c>
      <c r="I234" s="3546">
        <f ca="1">典型户型修正办!S60</f>
        <v>3140</v>
      </c>
    </row>
    <row r="235" spans="1:18" s="3472" customFormat="1">
      <c r="A235" s="3916"/>
      <c r="B235" s="3907"/>
      <c r="C235" s="3907"/>
      <c r="D235" s="3909"/>
      <c r="E235" s="3509" t="s">
        <v>3535</v>
      </c>
      <c r="F235" s="3522">
        <v>1637.57</v>
      </c>
      <c r="G235" s="3509">
        <v>265.63</v>
      </c>
      <c r="H235" s="3513" t="s">
        <v>21</v>
      </c>
      <c r="I235" s="3546">
        <f ca="1">典型户型修正办!S61</f>
        <v>3666</v>
      </c>
    </row>
    <row r="236" spans="1:18" s="3472" customFormat="1">
      <c r="A236" s="3916"/>
      <c r="B236" s="3907"/>
      <c r="C236" s="3907"/>
      <c r="D236" s="3909"/>
      <c r="E236" s="3509" t="s">
        <v>3536</v>
      </c>
      <c r="F236" s="3522">
        <v>1717.47</v>
      </c>
      <c r="G236" s="3509">
        <v>278.58999999999997</v>
      </c>
      <c r="H236" s="3513" t="s">
        <v>21</v>
      </c>
      <c r="I236" s="3546">
        <f ca="1">典型户型修正办!S62</f>
        <v>3845</v>
      </c>
    </row>
    <row r="237" spans="1:18" s="3472" customFormat="1">
      <c r="A237" s="3916"/>
      <c r="B237" s="3907"/>
      <c r="C237" s="3907"/>
      <c r="D237" s="3909"/>
      <c r="E237" s="3509" t="s">
        <v>3537</v>
      </c>
      <c r="F237" s="3522">
        <v>1717.47</v>
      </c>
      <c r="G237" s="3509">
        <v>278.58999999999997</v>
      </c>
      <c r="H237" s="3513" t="s">
        <v>21</v>
      </c>
      <c r="I237" s="3546">
        <f ca="1">典型户型修正办!S63</f>
        <v>3845</v>
      </c>
    </row>
    <row r="238" spans="1:18" s="3472" customFormat="1">
      <c r="A238" s="3916"/>
      <c r="B238" s="3907"/>
      <c r="C238" s="3907"/>
      <c r="D238" s="3909"/>
      <c r="E238" s="3509" t="s">
        <v>3538</v>
      </c>
      <c r="F238" s="3522">
        <v>1717.47</v>
      </c>
      <c r="G238" s="3509">
        <v>278.58999999999997</v>
      </c>
      <c r="H238" s="3513" t="s">
        <v>21</v>
      </c>
      <c r="I238" s="3546">
        <f ca="1">典型户型修正办!S64</f>
        <v>3960</v>
      </c>
    </row>
    <row r="239" spans="1:18" s="3472" customFormat="1">
      <c r="A239" s="3916"/>
      <c r="B239" s="3907"/>
      <c r="C239" s="3907"/>
      <c r="D239" s="3909"/>
      <c r="E239" s="3509" t="s">
        <v>3539</v>
      </c>
      <c r="F239" s="3522">
        <v>1717.47</v>
      </c>
      <c r="G239" s="3509">
        <v>278.58999999999997</v>
      </c>
      <c r="H239" s="3513" t="s">
        <v>21</v>
      </c>
      <c r="I239" s="3546">
        <f ca="1">典型户型修正办!S65</f>
        <v>3960</v>
      </c>
    </row>
    <row r="240" spans="1:18" s="3472" customFormat="1">
      <c r="A240" s="3916"/>
      <c r="B240" s="3907"/>
      <c r="C240" s="3907"/>
      <c r="D240" s="3909"/>
      <c r="E240" s="3509" t="s">
        <v>3748</v>
      </c>
      <c r="F240" s="3522">
        <v>1717.47</v>
      </c>
      <c r="G240" s="3509">
        <v>278.58999999999997</v>
      </c>
      <c r="H240" s="3513" t="s">
        <v>21</v>
      </c>
      <c r="I240" s="3546">
        <f ca="1">典型户型修正办!S66</f>
        <v>3960</v>
      </c>
    </row>
    <row r="241" spans="1:9" s="3472" customFormat="1">
      <c r="A241" s="3916"/>
      <c r="B241" s="3907"/>
      <c r="C241" s="3907"/>
      <c r="D241" s="3909"/>
      <c r="E241" s="3509" t="s">
        <v>3749</v>
      </c>
      <c r="F241" s="3522">
        <v>1717.47</v>
      </c>
      <c r="G241" s="3509">
        <v>278.58999999999997</v>
      </c>
      <c r="H241" s="3513" t="s">
        <v>21</v>
      </c>
      <c r="I241" s="3546">
        <f ca="1">典型户型修正办!S67</f>
        <v>3960</v>
      </c>
    </row>
    <row r="242" spans="1:9" s="3472" customFormat="1">
      <c r="A242" s="3916"/>
      <c r="B242" s="3907"/>
      <c r="C242" s="3907"/>
      <c r="D242" s="3909"/>
      <c r="E242" s="3509" t="s">
        <v>3750</v>
      </c>
      <c r="F242" s="3522">
        <v>1717.47</v>
      </c>
      <c r="G242" s="3509">
        <v>278.58999999999997</v>
      </c>
      <c r="H242" s="3513" t="s">
        <v>21</v>
      </c>
      <c r="I242" s="3546">
        <f ca="1">典型户型修正办!S68</f>
        <v>3960</v>
      </c>
    </row>
    <row r="243" spans="1:9" s="3472" customFormat="1">
      <c r="A243" s="3916"/>
      <c r="B243" s="3907"/>
      <c r="C243" s="3907"/>
      <c r="D243" s="3909"/>
      <c r="E243" s="3509" t="s">
        <v>3751</v>
      </c>
      <c r="F243" s="3522">
        <v>1717.47</v>
      </c>
      <c r="G243" s="3509">
        <v>278.58999999999997</v>
      </c>
      <c r="H243" s="3513" t="s">
        <v>21</v>
      </c>
      <c r="I243" s="3546">
        <f ca="1">典型户型修正办!S69</f>
        <v>3960</v>
      </c>
    </row>
    <row r="244" spans="1:9" s="3472" customFormat="1">
      <c r="A244" s="3916"/>
      <c r="B244" s="3907"/>
      <c r="C244" s="3907"/>
      <c r="D244" s="3909"/>
      <c r="E244" s="3509" t="s">
        <v>3752</v>
      </c>
      <c r="F244" s="3522">
        <v>1717.47</v>
      </c>
      <c r="G244" s="3509">
        <v>278.58999999999997</v>
      </c>
      <c r="H244" s="3513" t="s">
        <v>21</v>
      </c>
      <c r="I244" s="3546">
        <f ca="1">典型户型修正办!S70</f>
        <v>4076</v>
      </c>
    </row>
    <row r="245" spans="1:9" s="3472" customFormat="1">
      <c r="A245" s="3916"/>
      <c r="B245" s="3907"/>
      <c r="C245" s="3907"/>
      <c r="D245" s="3909"/>
      <c r="E245" s="3509" t="s">
        <v>3753</v>
      </c>
      <c r="F245" s="3522">
        <v>1007.74</v>
      </c>
      <c r="G245" s="3509">
        <v>163.46</v>
      </c>
      <c r="H245" s="3513" t="s">
        <v>21</v>
      </c>
      <c r="I245" s="3546">
        <f ca="1">典型户型修正办!S71</f>
        <v>2391</v>
      </c>
    </row>
    <row r="246" spans="1:9" s="3472" customFormat="1">
      <c r="A246" s="3916"/>
      <c r="B246" s="3907"/>
      <c r="C246" s="3907"/>
      <c r="D246" s="3909"/>
      <c r="E246" s="3509" t="s">
        <v>3754</v>
      </c>
      <c r="F246" s="3522">
        <v>1007.74</v>
      </c>
      <c r="G246" s="3509">
        <v>163.46</v>
      </c>
      <c r="H246" s="3513" t="s">
        <v>21</v>
      </c>
      <c r="I246" s="3546">
        <f ca="1">典型户型修正办!S72</f>
        <v>2391</v>
      </c>
    </row>
    <row r="247" spans="1:9" s="3472" customFormat="1">
      <c r="A247" s="3916"/>
      <c r="B247" s="3907"/>
      <c r="C247" s="3907"/>
      <c r="D247" s="3909"/>
      <c r="E247" s="3509" t="s">
        <v>3755</v>
      </c>
      <c r="F247" s="3522">
        <v>1717.47</v>
      </c>
      <c r="G247" s="3509">
        <v>278.58999999999997</v>
      </c>
      <c r="H247" s="3513" t="s">
        <v>21</v>
      </c>
      <c r="I247" s="3546">
        <f ca="1">典型户型修正办!S73</f>
        <v>4076</v>
      </c>
    </row>
    <row r="248" spans="1:9" s="3472" customFormat="1">
      <c r="A248" s="3916"/>
      <c r="B248" s="3907"/>
      <c r="C248" s="3907"/>
      <c r="D248" s="3909"/>
      <c r="E248" s="3509" t="s">
        <v>3756</v>
      </c>
      <c r="F248" s="3522">
        <v>1717.47</v>
      </c>
      <c r="G248" s="3509">
        <v>278.58999999999997</v>
      </c>
      <c r="H248" s="3513" t="s">
        <v>21</v>
      </c>
      <c r="I248" s="3546">
        <f ca="1">典型户型修正办!S74</f>
        <v>4076</v>
      </c>
    </row>
    <row r="249" spans="1:9" s="3472" customFormat="1">
      <c r="A249" s="3916"/>
      <c r="B249" s="3907"/>
      <c r="C249" s="3907"/>
      <c r="D249" s="3909"/>
      <c r="E249" s="3509" t="s">
        <v>3757</v>
      </c>
      <c r="F249" s="3522">
        <v>1717.47</v>
      </c>
      <c r="G249" s="3509">
        <v>278.58999999999997</v>
      </c>
      <c r="H249" s="3513" t="s">
        <v>21</v>
      </c>
      <c r="I249" s="3546">
        <f ca="1">典型户型修正办!S75</f>
        <v>4076</v>
      </c>
    </row>
    <row r="250" spans="1:9" s="3472" customFormat="1">
      <c r="A250" s="3916"/>
      <c r="B250" s="3907"/>
      <c r="C250" s="3907"/>
      <c r="D250" s="3909"/>
      <c r="E250" s="3514" t="s">
        <v>3758</v>
      </c>
      <c r="F250" s="3522">
        <v>1909.09</v>
      </c>
      <c r="G250" s="3509">
        <v>309.67</v>
      </c>
      <c r="H250" s="3513" t="s">
        <v>21</v>
      </c>
      <c r="I250" s="3546">
        <f ca="1">典型户型修正办!S76</f>
        <v>4274</v>
      </c>
    </row>
    <row r="251" spans="1:9" s="3472" customFormat="1">
      <c r="A251" s="3916"/>
      <c r="B251" s="3907"/>
      <c r="C251" s="3907"/>
      <c r="D251" s="3909"/>
      <c r="E251" s="3514" t="s">
        <v>3759</v>
      </c>
      <c r="F251" s="3522">
        <v>2123.52</v>
      </c>
      <c r="G251" s="3509">
        <v>344.45</v>
      </c>
      <c r="H251" s="3513" t="s">
        <v>21</v>
      </c>
      <c r="I251" s="3546">
        <f ca="1">典型户型修正办!S77</f>
        <v>4707</v>
      </c>
    </row>
    <row r="252" spans="1:9" s="3472" customFormat="1">
      <c r="A252" s="3916"/>
      <c r="B252" s="3907"/>
      <c r="C252" s="3907"/>
      <c r="D252" s="3909"/>
      <c r="E252" s="3514" t="s">
        <v>3760</v>
      </c>
      <c r="F252" s="3522">
        <v>2492.4899999999998</v>
      </c>
      <c r="G252" s="3509">
        <v>404.3</v>
      </c>
      <c r="H252" s="3513" t="s">
        <v>21</v>
      </c>
      <c r="I252" s="3546">
        <f ca="1">典型户型修正办!S78</f>
        <v>5524</v>
      </c>
    </row>
    <row r="253" spans="1:9" s="3472" customFormat="1">
      <c r="A253" s="3916"/>
      <c r="B253" s="3907"/>
      <c r="C253" s="3907"/>
      <c r="D253" s="3909"/>
      <c r="E253" s="3514" t="s">
        <v>3761</v>
      </c>
      <c r="F253" s="3522">
        <v>2492.4899999999998</v>
      </c>
      <c r="G253" s="3509">
        <v>404.3</v>
      </c>
      <c r="H253" s="3513" t="s">
        <v>21</v>
      </c>
      <c r="I253" s="3546">
        <f ca="1">典型户型修正办!S79</f>
        <v>5524</v>
      </c>
    </row>
    <row r="254" spans="1:9" s="3472" customFormat="1">
      <c r="A254" s="3916"/>
      <c r="B254" s="3907"/>
      <c r="C254" s="3907"/>
      <c r="D254" s="3909"/>
      <c r="E254" s="3514" t="s">
        <v>3762</v>
      </c>
      <c r="F254" s="3522">
        <v>2492.4899999999998</v>
      </c>
      <c r="G254" s="3509">
        <v>404.3</v>
      </c>
      <c r="H254" s="3513" t="s">
        <v>21</v>
      </c>
      <c r="I254" s="3546">
        <f ca="1">典型户型修正办!S80</f>
        <v>5690</v>
      </c>
    </row>
    <row r="255" spans="1:9" s="3472" customFormat="1">
      <c r="A255" s="3916"/>
      <c r="B255" s="3907"/>
      <c r="C255" s="3907"/>
      <c r="D255" s="3909"/>
      <c r="E255" s="3514" t="s">
        <v>3763</v>
      </c>
      <c r="F255" s="3522">
        <v>2492.4899999999998</v>
      </c>
      <c r="G255" s="3509">
        <v>404.3</v>
      </c>
      <c r="H255" s="3513" t="s">
        <v>21</v>
      </c>
      <c r="I255" s="3546">
        <f ca="1">典型户型修正办!S81</f>
        <v>5690</v>
      </c>
    </row>
    <row r="256" spans="1:9" s="3472" customFormat="1">
      <c r="A256" s="3916"/>
      <c r="B256" s="3907"/>
      <c r="C256" s="3907"/>
      <c r="D256" s="3909"/>
      <c r="E256" s="3509">
        <v>101</v>
      </c>
      <c r="F256" s="3522">
        <v>124.55</v>
      </c>
      <c r="G256" s="3509">
        <v>20.2</v>
      </c>
      <c r="H256" s="3513" t="s">
        <v>673</v>
      </c>
      <c r="I256" s="3546">
        <f ca="1">典型户型修正!S49</f>
        <v>525</v>
      </c>
    </row>
    <row r="257" spans="1:18" s="3472" customFormat="1">
      <c r="A257" s="3916"/>
      <c r="B257" s="3907"/>
      <c r="C257" s="3907"/>
      <c r="D257" s="3909"/>
      <c r="E257" s="3509">
        <v>102</v>
      </c>
      <c r="F257" s="3522">
        <v>162.38999999999999</v>
      </c>
      <c r="G257" s="3509">
        <v>26.34</v>
      </c>
      <c r="H257" s="3513" t="s">
        <v>673</v>
      </c>
      <c r="I257" s="3546">
        <f ca="1">典型户型修正!S50</f>
        <v>685</v>
      </c>
    </row>
    <row r="258" spans="1:18" s="3472" customFormat="1">
      <c r="A258" s="3916"/>
      <c r="B258" s="3907"/>
      <c r="C258" s="3907"/>
      <c r="D258" s="3909"/>
      <c r="E258" s="3509">
        <v>103</v>
      </c>
      <c r="F258" s="3522">
        <v>358.27</v>
      </c>
      <c r="G258" s="3509">
        <v>58.11</v>
      </c>
      <c r="H258" s="3513" t="s">
        <v>673</v>
      </c>
      <c r="I258" s="3546">
        <f ca="1">典型户型修正!S51</f>
        <v>1481</v>
      </c>
    </row>
    <row r="259" spans="1:18" s="3472" customFormat="1">
      <c r="A259" s="3916"/>
      <c r="B259" s="3907"/>
      <c r="C259" s="3907"/>
      <c r="D259" s="3909"/>
      <c r="E259" s="3509">
        <v>104</v>
      </c>
      <c r="F259" s="3522">
        <v>485.46</v>
      </c>
      <c r="G259" s="3509">
        <v>78.760000000000005</v>
      </c>
      <c r="H259" s="3513" t="s">
        <v>673</v>
      </c>
      <c r="I259" s="3546">
        <f ca="1">典型户型修正!S52</f>
        <v>2006</v>
      </c>
      <c r="M259" s="3467"/>
      <c r="N259" s="3467"/>
      <c r="O259" s="3467"/>
      <c r="P259" s="3467"/>
      <c r="Q259" s="3467"/>
      <c r="R259" s="3467"/>
    </row>
    <row r="260" spans="1:18" s="3472" customFormat="1">
      <c r="A260" s="3916"/>
      <c r="B260" s="3907"/>
      <c r="C260" s="3907"/>
      <c r="D260" s="3909"/>
      <c r="E260" s="3509">
        <v>105</v>
      </c>
      <c r="F260" s="3522">
        <v>148.63</v>
      </c>
      <c r="G260" s="3509">
        <v>24.11</v>
      </c>
      <c r="H260" s="3513" t="s">
        <v>673</v>
      </c>
      <c r="I260" s="3546">
        <f ca="1">典型户型修正!S53</f>
        <v>627</v>
      </c>
    </row>
    <row r="261" spans="1:18" s="3472" customFormat="1">
      <c r="A261" s="3916"/>
      <c r="B261" s="3907"/>
      <c r="C261" s="3907"/>
      <c r="D261" s="3909"/>
      <c r="E261" s="3509">
        <v>106</v>
      </c>
      <c r="F261" s="3522">
        <v>361.29</v>
      </c>
      <c r="G261" s="3509">
        <v>58.6</v>
      </c>
      <c r="H261" s="3513" t="s">
        <v>673</v>
      </c>
      <c r="I261" s="3546">
        <f ca="1">典型户型修正!S54</f>
        <v>1493</v>
      </c>
    </row>
    <row r="262" spans="1:18" s="3472" customFormat="1">
      <c r="A262" s="3916"/>
      <c r="B262" s="3907"/>
      <c r="C262" s="3907"/>
      <c r="D262" s="3909"/>
      <c r="E262" s="3509">
        <v>107</v>
      </c>
      <c r="F262" s="3522">
        <v>468.37</v>
      </c>
      <c r="G262" s="3509">
        <v>75.97</v>
      </c>
      <c r="H262" s="3513" t="s">
        <v>673</v>
      </c>
      <c r="I262" s="3546">
        <f ca="1">典型户型修正!S55</f>
        <v>1936</v>
      </c>
    </row>
    <row r="263" spans="1:18" s="3472" customFormat="1">
      <c r="A263" s="3916"/>
      <c r="B263" s="3907"/>
      <c r="C263" s="3907"/>
      <c r="D263" s="3909"/>
      <c r="E263" s="3509">
        <v>201</v>
      </c>
      <c r="F263" s="3522">
        <v>142.80000000000001</v>
      </c>
      <c r="G263" s="3509">
        <v>23.16</v>
      </c>
      <c r="H263" s="3513" t="s">
        <v>673</v>
      </c>
      <c r="I263" s="3546">
        <f ca="1">典型户型修正!S56</f>
        <v>452</v>
      </c>
    </row>
    <row r="264" spans="1:18" s="3472" customFormat="1">
      <c r="A264" s="3916"/>
      <c r="B264" s="3907"/>
      <c r="C264" s="3907"/>
      <c r="D264" s="3909"/>
      <c r="E264" s="3509">
        <v>202</v>
      </c>
      <c r="F264" s="3522">
        <v>1603.05</v>
      </c>
      <c r="G264" s="3509">
        <v>260.02999999999997</v>
      </c>
      <c r="H264" s="3513" t="s">
        <v>673</v>
      </c>
      <c r="I264" s="3546">
        <f ca="1">典型户型修正!S57</f>
        <v>4869</v>
      </c>
    </row>
    <row r="265" spans="1:18" s="3472" customFormat="1">
      <c r="A265" s="3917"/>
      <c r="B265" s="3918"/>
      <c r="C265" s="3918"/>
      <c r="D265" s="3919"/>
      <c r="E265" s="3509">
        <v>203</v>
      </c>
      <c r="F265" s="3522">
        <v>1275.1400000000001</v>
      </c>
      <c r="G265" s="3509">
        <v>206.85</v>
      </c>
      <c r="H265" s="3513" t="s">
        <v>673</v>
      </c>
      <c r="I265" s="3546">
        <f ca="1">典型户型修正!S58</f>
        <v>3873</v>
      </c>
    </row>
    <row r="266" spans="1:18">
      <c r="A266" s="3902" t="s">
        <v>3526</v>
      </c>
      <c r="B266" s="3902"/>
      <c r="C266" s="3902"/>
      <c r="D266" s="3902"/>
      <c r="E266" s="3902"/>
      <c r="F266" s="3520">
        <f>SUM(F232:F265)</f>
        <v>45459.640000000007</v>
      </c>
      <c r="G266" s="3466">
        <f>SUM(G232:G265)</f>
        <v>7373.9500000000007</v>
      </c>
      <c r="H266" s="3506"/>
      <c r="I266" s="3520">
        <f ca="1">SUM(I232:I265)</f>
        <v>110210</v>
      </c>
      <c r="M266" s="3472"/>
      <c r="N266" s="3472"/>
      <c r="O266" s="3472"/>
      <c r="P266" s="3472"/>
      <c r="Q266" s="3472"/>
      <c r="R266" s="3472"/>
    </row>
    <row r="267" spans="1:18" s="3472" customFormat="1">
      <c r="A267" s="3903">
        <v>4</v>
      </c>
      <c r="B267" s="3906" t="s">
        <v>3764</v>
      </c>
      <c r="C267" s="3906" t="s">
        <v>3765</v>
      </c>
      <c r="D267" s="3908" t="s">
        <v>3532</v>
      </c>
      <c r="E267" s="3505">
        <v>-101</v>
      </c>
      <c r="F267" s="3515">
        <v>103.88</v>
      </c>
      <c r="G267" s="3505">
        <v>16.850000000000001</v>
      </c>
      <c r="H267" s="3513" t="s">
        <v>673</v>
      </c>
      <c r="I267" s="3546">
        <f ca="1">典型户型修正!S60</f>
        <v>194</v>
      </c>
    </row>
    <row r="268" spans="1:18" s="3472" customFormat="1">
      <c r="A268" s="3904"/>
      <c r="B268" s="3907"/>
      <c r="C268" s="3907"/>
      <c r="D268" s="3909"/>
      <c r="E268" s="3505">
        <v>-102</v>
      </c>
      <c r="F268" s="3515">
        <v>161.09</v>
      </c>
      <c r="G268" s="3505">
        <v>26.13</v>
      </c>
      <c r="H268" s="3513" t="s">
        <v>673</v>
      </c>
      <c r="I268" s="3546">
        <f ca="1">典型户型修正!S61</f>
        <v>301</v>
      </c>
    </row>
    <row r="269" spans="1:18" s="3472" customFormat="1">
      <c r="A269" s="3904"/>
      <c r="B269" s="3907"/>
      <c r="C269" s="3907"/>
      <c r="D269" s="3909"/>
      <c r="E269" s="3505">
        <v>-103</v>
      </c>
      <c r="F269" s="3515">
        <v>166.84</v>
      </c>
      <c r="G269" s="3505">
        <v>27.06</v>
      </c>
      <c r="H269" s="3513" t="s">
        <v>673</v>
      </c>
      <c r="I269" s="3546">
        <f ca="1">典型户型修正!S62</f>
        <v>311</v>
      </c>
    </row>
    <row r="270" spans="1:18" s="3472" customFormat="1">
      <c r="A270" s="3904"/>
      <c r="B270" s="3907"/>
      <c r="C270" s="3907"/>
      <c r="D270" s="3909"/>
      <c r="E270" s="3505">
        <v>-104</v>
      </c>
      <c r="F270" s="3515">
        <v>209.67</v>
      </c>
      <c r="G270" s="3505">
        <v>34.01</v>
      </c>
      <c r="H270" s="3513" t="s">
        <v>673</v>
      </c>
      <c r="I270" s="3546">
        <f ca="1">典型户型修正!S63</f>
        <v>387</v>
      </c>
    </row>
    <row r="271" spans="1:18" s="3472" customFormat="1">
      <c r="A271" s="3904"/>
      <c r="B271" s="3907"/>
      <c r="C271" s="3907"/>
      <c r="D271" s="3909"/>
      <c r="E271" s="3505">
        <v>-105</v>
      </c>
      <c r="F271" s="3515">
        <v>509.5</v>
      </c>
      <c r="G271" s="3505">
        <v>82.65</v>
      </c>
      <c r="H271" s="3513" t="s">
        <v>673</v>
      </c>
      <c r="I271" s="3546">
        <f ca="1">典型户型修正!S64</f>
        <v>923</v>
      </c>
    </row>
    <row r="272" spans="1:18" s="3472" customFormat="1">
      <c r="A272" s="3904"/>
      <c r="B272" s="3907"/>
      <c r="C272" s="3907"/>
      <c r="D272" s="3909"/>
      <c r="E272" s="3505">
        <v>-106</v>
      </c>
      <c r="F272" s="3515">
        <v>185.51</v>
      </c>
      <c r="G272" s="3505">
        <v>30.09</v>
      </c>
      <c r="H272" s="3513" t="s">
        <v>673</v>
      </c>
      <c r="I272" s="3546">
        <f ca="1">典型户型修正!S65</f>
        <v>346</v>
      </c>
    </row>
    <row r="273" spans="1:9" s="3472" customFormat="1">
      <c r="A273" s="3904"/>
      <c r="B273" s="3907"/>
      <c r="C273" s="3907"/>
      <c r="D273" s="3909"/>
      <c r="E273" s="3505">
        <v>-107</v>
      </c>
      <c r="F273" s="3515">
        <v>243.06</v>
      </c>
      <c r="G273" s="3505">
        <v>39.43</v>
      </c>
      <c r="H273" s="3513" t="s">
        <v>673</v>
      </c>
      <c r="I273" s="3546">
        <f ca="1">典型户型修正!S66</f>
        <v>449</v>
      </c>
    </row>
    <row r="274" spans="1:9" s="3472" customFormat="1">
      <c r="A274" s="3904"/>
      <c r="B274" s="3907"/>
      <c r="C274" s="3907"/>
      <c r="D274" s="3909"/>
      <c r="E274" s="3509">
        <v>101</v>
      </c>
      <c r="F274" s="3522">
        <v>327.32</v>
      </c>
      <c r="G274" s="3505">
        <v>53.09</v>
      </c>
      <c r="H274" s="3513" t="s">
        <v>673</v>
      </c>
      <c r="I274" s="3546">
        <f ca="1">典型户型修正!S67</f>
        <v>1236</v>
      </c>
    </row>
    <row r="275" spans="1:9" s="3472" customFormat="1">
      <c r="A275" s="3904"/>
      <c r="B275" s="3907"/>
      <c r="C275" s="3907"/>
      <c r="D275" s="3909"/>
      <c r="E275" s="3509">
        <v>102</v>
      </c>
      <c r="F275" s="3522">
        <v>138.91999999999999</v>
      </c>
      <c r="G275" s="3505">
        <v>22.53</v>
      </c>
      <c r="H275" s="3513" t="s">
        <v>673</v>
      </c>
      <c r="I275" s="3546">
        <f ca="1">典型户型修正!S68</f>
        <v>535</v>
      </c>
    </row>
    <row r="276" spans="1:9" s="3472" customFormat="1">
      <c r="A276" s="3905"/>
      <c r="B276" s="3907"/>
      <c r="C276" s="3907"/>
      <c r="D276" s="3909"/>
      <c r="E276" s="3509">
        <v>103</v>
      </c>
      <c r="F276" s="3522">
        <v>329.32</v>
      </c>
      <c r="G276" s="3505">
        <v>53.42</v>
      </c>
      <c r="H276" s="3513" t="s">
        <v>673</v>
      </c>
      <c r="I276" s="3546">
        <f ca="1">典型户型修正!S69</f>
        <v>1243</v>
      </c>
    </row>
    <row r="277" spans="1:9" s="3472" customFormat="1">
      <c r="A277" s="3902" t="s">
        <v>3526</v>
      </c>
      <c r="B277" s="3902"/>
      <c r="C277" s="3902"/>
      <c r="D277" s="3902"/>
      <c r="E277" s="3902"/>
      <c r="F277" s="3520">
        <f>SUM(F267:F276)</f>
        <v>2375.11</v>
      </c>
      <c r="G277" s="3466">
        <f>SUM(G267:G276)</f>
        <v>385.26000000000005</v>
      </c>
      <c r="H277" s="3506"/>
      <c r="I277" s="3520">
        <f ca="1">SUM(I267:I276)</f>
        <v>5925</v>
      </c>
    </row>
    <row r="278" spans="1:9" s="3472" customFormat="1">
      <c r="A278" s="3903">
        <v>6</v>
      </c>
      <c r="B278" s="3906" t="s">
        <v>3766</v>
      </c>
      <c r="C278" s="3906" t="s">
        <v>4434</v>
      </c>
      <c r="D278" s="3908" t="s">
        <v>3768</v>
      </c>
      <c r="E278" s="3509">
        <v>101</v>
      </c>
      <c r="F278" s="3521">
        <v>207.6</v>
      </c>
      <c r="G278" s="3471">
        <v>33.659999999999997</v>
      </c>
      <c r="H278" s="3513" t="s">
        <v>673</v>
      </c>
      <c r="I278" s="3546">
        <f ca="1">典型户型修正!S71</f>
        <v>841</v>
      </c>
    </row>
    <row r="279" spans="1:9" s="3472" customFormat="1">
      <c r="A279" s="3904"/>
      <c r="B279" s="3907"/>
      <c r="C279" s="3907"/>
      <c r="D279" s="3909"/>
      <c r="E279" s="3509">
        <v>102</v>
      </c>
      <c r="F279" s="3521">
        <v>507.89</v>
      </c>
      <c r="G279" s="3471">
        <v>82.38</v>
      </c>
      <c r="H279" s="3513" t="s">
        <v>673</v>
      </c>
      <c r="I279" s="3546">
        <f ca="1">典型户型修正!S72</f>
        <v>2017</v>
      </c>
    </row>
    <row r="280" spans="1:9" s="3472" customFormat="1">
      <c r="A280" s="3904"/>
      <c r="B280" s="3907"/>
      <c r="C280" s="3907"/>
      <c r="D280" s="3909"/>
      <c r="E280" s="3621">
        <v>201</v>
      </c>
      <c r="F280" s="3620">
        <v>1121.54</v>
      </c>
      <c r="G280" s="3620">
        <v>181.92</v>
      </c>
      <c r="H280" s="3528" t="s">
        <v>21</v>
      </c>
      <c r="I280" s="3622">
        <f ca="1">典型户型修正办!S24</f>
        <v>2511</v>
      </c>
    </row>
    <row r="281" spans="1:9" s="3472" customFormat="1">
      <c r="A281" s="3904"/>
      <c r="B281" s="3907"/>
      <c r="C281" s="3907"/>
      <c r="D281" s="3909"/>
      <c r="E281" s="3509">
        <v>301</v>
      </c>
      <c r="F281" s="3521">
        <v>1517.54</v>
      </c>
      <c r="G281" s="3471">
        <v>246.16</v>
      </c>
      <c r="H281" s="3469" t="s">
        <v>21</v>
      </c>
      <c r="I281" s="3552">
        <f ca="1">典型户型修正办!S84</f>
        <v>3397</v>
      </c>
    </row>
    <row r="282" spans="1:9" s="3472" customFormat="1">
      <c r="A282" s="3904"/>
      <c r="B282" s="3907"/>
      <c r="C282" s="3907"/>
      <c r="D282" s="3909"/>
      <c r="E282" s="3509">
        <v>401</v>
      </c>
      <c r="F282" s="3521">
        <v>1517.54</v>
      </c>
      <c r="G282" s="3471">
        <v>246.16</v>
      </c>
      <c r="H282" s="3469" t="s">
        <v>21</v>
      </c>
      <c r="I282" s="3552">
        <f ca="1">典型户型修正办!S85</f>
        <v>3397</v>
      </c>
    </row>
    <row r="283" spans="1:9" s="3472" customFormat="1">
      <c r="A283" s="3904"/>
      <c r="B283" s="3907"/>
      <c r="C283" s="3907"/>
      <c r="D283" s="3909"/>
      <c r="E283" s="3509">
        <v>501</v>
      </c>
      <c r="F283" s="3521">
        <v>1517.54</v>
      </c>
      <c r="G283" s="3471">
        <v>246.16</v>
      </c>
      <c r="H283" s="3469" t="s">
        <v>21</v>
      </c>
      <c r="I283" s="3552">
        <f ca="1">典型户型修正办!S86</f>
        <v>3397</v>
      </c>
    </row>
    <row r="284" spans="1:9" s="3472" customFormat="1">
      <c r="A284" s="3904"/>
      <c r="B284" s="3907"/>
      <c r="C284" s="3907"/>
      <c r="D284" s="3909"/>
      <c r="E284" s="3509">
        <v>601</v>
      </c>
      <c r="F284" s="3521">
        <v>1517.54</v>
      </c>
      <c r="G284" s="3471">
        <v>246.16</v>
      </c>
      <c r="H284" s="3469" t="s">
        <v>21</v>
      </c>
      <c r="I284" s="3552">
        <f ca="1">典型户型修正办!S87</f>
        <v>3397</v>
      </c>
    </row>
    <row r="285" spans="1:9" s="3472" customFormat="1">
      <c r="A285" s="3904"/>
      <c r="B285" s="3907"/>
      <c r="C285" s="3907"/>
      <c r="D285" s="3909"/>
      <c r="E285" s="3509">
        <v>701</v>
      </c>
      <c r="F285" s="3521">
        <v>1517.54</v>
      </c>
      <c r="G285" s="3471">
        <v>246.16</v>
      </c>
      <c r="H285" s="3469" t="s">
        <v>21</v>
      </c>
      <c r="I285" s="3552">
        <f ca="1">典型户型修正办!S88</f>
        <v>3499</v>
      </c>
    </row>
    <row r="286" spans="1:9" s="3472" customFormat="1">
      <c r="A286" s="3904"/>
      <c r="B286" s="3907"/>
      <c r="C286" s="3907"/>
      <c r="D286" s="3909"/>
      <c r="E286" s="3509">
        <v>801</v>
      </c>
      <c r="F286" s="3521">
        <v>1517.54</v>
      </c>
      <c r="G286" s="3471">
        <v>246.16</v>
      </c>
      <c r="H286" s="3469" t="s">
        <v>21</v>
      </c>
      <c r="I286" s="3552">
        <f ca="1">典型户型修正办!S89</f>
        <v>3499</v>
      </c>
    </row>
    <row r="287" spans="1:9" s="3472" customFormat="1">
      <c r="A287" s="3904"/>
      <c r="B287" s="3907"/>
      <c r="C287" s="3907"/>
      <c r="D287" s="3909"/>
      <c r="E287" s="3509">
        <v>901</v>
      </c>
      <c r="F287" s="3521">
        <v>1517.54</v>
      </c>
      <c r="G287" s="3471">
        <v>246.16</v>
      </c>
      <c r="H287" s="3469" t="s">
        <v>21</v>
      </c>
      <c r="I287" s="3552">
        <f ca="1">典型户型修正办!S90</f>
        <v>3499</v>
      </c>
    </row>
    <row r="288" spans="1:9" s="3472" customFormat="1">
      <c r="A288" s="3904"/>
      <c r="B288" s="3907"/>
      <c r="C288" s="3907"/>
      <c r="D288" s="3909"/>
      <c r="E288" s="3509">
        <v>1001</v>
      </c>
      <c r="F288" s="3521">
        <v>1517.54</v>
      </c>
      <c r="G288" s="3471">
        <v>246.16</v>
      </c>
      <c r="H288" s="3469" t="s">
        <v>21</v>
      </c>
      <c r="I288" s="3552">
        <f ca="1">典型户型修正办!S91</f>
        <v>3499</v>
      </c>
    </row>
    <row r="289" spans="1:9" s="3472" customFormat="1">
      <c r="A289" s="3904"/>
      <c r="B289" s="3907"/>
      <c r="C289" s="3907"/>
      <c r="D289" s="3909"/>
      <c r="E289" s="3509">
        <v>1101</v>
      </c>
      <c r="F289" s="3521">
        <v>1517.54</v>
      </c>
      <c r="G289" s="3471">
        <v>246.16</v>
      </c>
      <c r="H289" s="3469" t="s">
        <v>21</v>
      </c>
      <c r="I289" s="3552">
        <f ca="1">典型户型修正办!S92</f>
        <v>3499</v>
      </c>
    </row>
    <row r="290" spans="1:9" s="3472" customFormat="1">
      <c r="A290" s="3904"/>
      <c r="B290" s="3907"/>
      <c r="C290" s="3907"/>
      <c r="D290" s="3909"/>
      <c r="E290" s="3509">
        <v>1201</v>
      </c>
      <c r="F290" s="3521">
        <v>1517.54</v>
      </c>
      <c r="G290" s="3471">
        <v>246.16</v>
      </c>
      <c r="H290" s="3469" t="s">
        <v>21</v>
      </c>
      <c r="I290" s="3552">
        <f ca="1">典型户型修正办!S93</f>
        <v>3499</v>
      </c>
    </row>
    <row r="291" spans="1:9" s="3472" customFormat="1">
      <c r="A291" s="3904"/>
      <c r="B291" s="3907"/>
      <c r="C291" s="3907"/>
      <c r="D291" s="3909"/>
      <c r="E291" s="3509">
        <v>1301</v>
      </c>
      <c r="F291" s="3521">
        <v>1517.54</v>
      </c>
      <c r="G291" s="3471">
        <v>246.16</v>
      </c>
      <c r="H291" s="3469" t="s">
        <v>21</v>
      </c>
      <c r="I291" s="3552">
        <f ca="1">典型户型修正办!S94</f>
        <v>3601</v>
      </c>
    </row>
    <row r="292" spans="1:9" s="3472" customFormat="1">
      <c r="A292" s="3904"/>
      <c r="B292" s="3907"/>
      <c r="C292" s="3907"/>
      <c r="D292" s="3909"/>
      <c r="E292" s="3509">
        <v>1401</v>
      </c>
      <c r="F292" s="3521">
        <v>1517.54</v>
      </c>
      <c r="G292" s="3471">
        <v>246.16</v>
      </c>
      <c r="H292" s="3469" t="s">
        <v>21</v>
      </c>
      <c r="I292" s="3552">
        <f ca="1">典型户型修正办!S95</f>
        <v>3601</v>
      </c>
    </row>
    <row r="293" spans="1:9" s="3472" customFormat="1">
      <c r="A293" s="3904"/>
      <c r="B293" s="3907"/>
      <c r="C293" s="3907"/>
      <c r="D293" s="3909"/>
      <c r="E293" s="3509">
        <v>1501</v>
      </c>
      <c r="F293" s="3521">
        <v>1429.6</v>
      </c>
      <c r="G293" s="3471">
        <v>231.89</v>
      </c>
      <c r="H293" s="3469" t="s">
        <v>21</v>
      </c>
      <c r="I293" s="3552">
        <f ca="1">典型户型修正办!S96</f>
        <v>3393</v>
      </c>
    </row>
    <row r="294" spans="1:9" s="3472" customFormat="1">
      <c r="A294" s="3904"/>
      <c r="B294" s="3907"/>
      <c r="C294" s="3907"/>
      <c r="D294" s="3909"/>
      <c r="E294" s="3509">
        <v>1601</v>
      </c>
      <c r="F294" s="3521">
        <v>1517.54</v>
      </c>
      <c r="G294" s="3471">
        <v>246.16</v>
      </c>
      <c r="H294" s="3469" t="s">
        <v>21</v>
      </c>
      <c r="I294" s="3552">
        <f ca="1">典型户型修正办!S97</f>
        <v>3601</v>
      </c>
    </row>
    <row r="295" spans="1:9" s="3472" customFormat="1">
      <c r="A295" s="3904"/>
      <c r="B295" s="3907"/>
      <c r="C295" s="3907"/>
      <c r="D295" s="3909"/>
      <c r="E295" s="3509">
        <v>1701</v>
      </c>
      <c r="F295" s="3521">
        <v>1517.54</v>
      </c>
      <c r="G295" s="3471">
        <v>246.16</v>
      </c>
      <c r="H295" s="3469" t="s">
        <v>21</v>
      </c>
      <c r="I295" s="3552">
        <f ca="1">典型户型修正办!S98</f>
        <v>3601</v>
      </c>
    </row>
    <row r="296" spans="1:9" s="3472" customFormat="1">
      <c r="A296" s="3905"/>
      <c r="B296" s="3907"/>
      <c r="C296" s="3907"/>
      <c r="D296" s="3909"/>
      <c r="E296" s="3509">
        <v>1801</v>
      </c>
      <c r="F296" s="3521">
        <v>1517.54</v>
      </c>
      <c r="G296" s="3471">
        <v>246.16</v>
      </c>
      <c r="H296" s="3469" t="s">
        <v>21</v>
      </c>
      <c r="I296" s="3552">
        <f ca="1">典型户型修正办!S99</f>
        <v>3601</v>
      </c>
    </row>
    <row r="297" spans="1:9" s="3472" customFormat="1">
      <c r="A297" s="3902" t="s">
        <v>3526</v>
      </c>
      <c r="B297" s="3902"/>
      <c r="C297" s="3902"/>
      <c r="D297" s="3902"/>
      <c r="E297" s="3902"/>
      <c r="F297" s="3520">
        <f>SUM(F278:F296)</f>
        <v>26029.730000000007</v>
      </c>
      <c r="G297" s="3466">
        <f>SUM(G278:G296)</f>
        <v>4222.2499999999991</v>
      </c>
      <c r="H297" s="3506"/>
      <c r="I297" s="3520">
        <f ca="1">SUM(I278:I296)</f>
        <v>61349</v>
      </c>
    </row>
    <row r="298" spans="1:9" s="3472" customFormat="1" hidden="1">
      <c r="A298" s="3910">
        <v>7</v>
      </c>
      <c r="B298" s="3897" t="s">
        <v>3769</v>
      </c>
      <c r="C298" s="3897" t="s">
        <v>3770</v>
      </c>
      <c r="D298" s="3898" t="s">
        <v>3771</v>
      </c>
      <c r="E298" s="3524">
        <v>-302</v>
      </c>
      <c r="F298" s="3524">
        <v>35.380000000000003</v>
      </c>
      <c r="G298" s="3524">
        <v>5.74</v>
      </c>
      <c r="H298" s="3525" t="s">
        <v>3772</v>
      </c>
      <c r="I298" s="3553"/>
    </row>
    <row r="299" spans="1:9" s="3472" customFormat="1" hidden="1">
      <c r="A299" s="3911"/>
      <c r="B299" s="3897"/>
      <c r="C299" s="3897"/>
      <c r="D299" s="3898"/>
      <c r="E299" s="3509">
        <v>-101</v>
      </c>
      <c r="F299" s="3522">
        <v>165.31</v>
      </c>
      <c r="G299" s="3509">
        <v>26.81</v>
      </c>
      <c r="H299" s="3509" t="s">
        <v>3773</v>
      </c>
      <c r="I299" s="3546">
        <f>典型户型修正!S74</f>
        <v>0</v>
      </c>
    </row>
    <row r="300" spans="1:9" s="3472" customFormat="1" hidden="1">
      <c r="A300" s="3911"/>
      <c r="B300" s="3897"/>
      <c r="C300" s="3897"/>
      <c r="D300" s="3898"/>
      <c r="E300" s="3509">
        <v>-102</v>
      </c>
      <c r="F300" s="3522">
        <v>157.99</v>
      </c>
      <c r="G300" s="3509">
        <v>25.63</v>
      </c>
      <c r="H300" s="3509" t="s">
        <v>3773</v>
      </c>
      <c r="I300" s="3546">
        <f>典型户型修正!S75</f>
        <v>0</v>
      </c>
    </row>
    <row r="301" spans="1:9" s="3472" customFormat="1" hidden="1">
      <c r="A301" s="3911"/>
      <c r="B301" s="3897"/>
      <c r="C301" s="3897"/>
      <c r="D301" s="3898"/>
      <c r="E301" s="3509">
        <v>-103</v>
      </c>
      <c r="F301" s="3522">
        <v>170.45</v>
      </c>
      <c r="G301" s="3509">
        <v>27.65</v>
      </c>
      <c r="H301" s="3509" t="s">
        <v>3773</v>
      </c>
      <c r="I301" s="3546">
        <f>典型户型修正!S76</f>
        <v>0</v>
      </c>
    </row>
    <row r="302" spans="1:9" s="3472" customFormat="1" hidden="1">
      <c r="A302" s="3911"/>
      <c r="B302" s="3897"/>
      <c r="C302" s="3897"/>
      <c r="D302" s="3898"/>
      <c r="E302" s="3509">
        <v>-104</v>
      </c>
      <c r="F302" s="3522">
        <v>183.16</v>
      </c>
      <c r="G302" s="3509">
        <v>29.71</v>
      </c>
      <c r="H302" s="3509" t="s">
        <v>3773</v>
      </c>
      <c r="I302" s="3546">
        <f>典型户型修正!S77</f>
        <v>0</v>
      </c>
    </row>
    <row r="303" spans="1:9" s="3472" customFormat="1" hidden="1">
      <c r="A303" s="3911"/>
      <c r="B303" s="3897"/>
      <c r="C303" s="3897"/>
      <c r="D303" s="3898"/>
      <c r="E303" s="3509">
        <v>-105</v>
      </c>
      <c r="F303" s="3522">
        <v>176.13</v>
      </c>
      <c r="G303" s="3509">
        <v>28.57</v>
      </c>
      <c r="H303" s="3509" t="s">
        <v>3773</v>
      </c>
      <c r="I303" s="3546">
        <f>典型户型修正!S78</f>
        <v>0</v>
      </c>
    </row>
    <row r="304" spans="1:9" s="3472" customFormat="1" hidden="1">
      <c r="A304" s="3911"/>
      <c r="B304" s="3897"/>
      <c r="C304" s="3897"/>
      <c r="D304" s="3898"/>
      <c r="E304" s="3509">
        <v>-106</v>
      </c>
      <c r="F304" s="3522">
        <v>255.37</v>
      </c>
      <c r="G304" s="3509">
        <v>41.42</v>
      </c>
      <c r="H304" s="3509" t="s">
        <v>3773</v>
      </c>
      <c r="I304" s="3546">
        <f>典型户型修正!S79</f>
        <v>0</v>
      </c>
    </row>
    <row r="305" spans="1:9" s="3472" customFormat="1" hidden="1">
      <c r="A305" s="3911"/>
      <c r="B305" s="3897"/>
      <c r="C305" s="3897"/>
      <c r="D305" s="3898"/>
      <c r="E305" s="3509">
        <v>-107</v>
      </c>
      <c r="F305" s="3522">
        <v>228.94</v>
      </c>
      <c r="G305" s="3509">
        <v>37.14</v>
      </c>
      <c r="H305" s="3509" t="s">
        <v>3773</v>
      </c>
      <c r="I305" s="3546">
        <f>典型户型修正!S80</f>
        <v>0</v>
      </c>
    </row>
    <row r="306" spans="1:9" s="3472" customFormat="1" hidden="1">
      <c r="A306" s="3911"/>
      <c r="B306" s="3897"/>
      <c r="C306" s="3897"/>
      <c r="D306" s="3898"/>
      <c r="E306" s="3509">
        <v>-108</v>
      </c>
      <c r="F306" s="3522">
        <v>408.34</v>
      </c>
      <c r="G306" s="3509">
        <v>66.239999999999995</v>
      </c>
      <c r="H306" s="3509" t="s">
        <v>3773</v>
      </c>
      <c r="I306" s="3546">
        <f>典型户型修正!S81</f>
        <v>0</v>
      </c>
    </row>
    <row r="307" spans="1:9" s="3472" customFormat="1" hidden="1">
      <c r="A307" s="3911"/>
      <c r="B307" s="3897"/>
      <c r="C307" s="3897"/>
      <c r="D307" s="3898"/>
      <c r="E307" s="3509">
        <v>-109</v>
      </c>
      <c r="F307" s="3522">
        <v>266.61</v>
      </c>
      <c r="G307" s="3509">
        <v>43.25</v>
      </c>
      <c r="H307" s="3509" t="s">
        <v>3773</v>
      </c>
      <c r="I307" s="3546">
        <f>典型户型修正!S82</f>
        <v>0</v>
      </c>
    </row>
    <row r="308" spans="1:9" s="3472" customFormat="1" hidden="1">
      <c r="A308" s="3911"/>
      <c r="B308" s="3897"/>
      <c r="C308" s="3897"/>
      <c r="D308" s="3898"/>
      <c r="E308" s="3509">
        <v>-110</v>
      </c>
      <c r="F308" s="3522">
        <v>276.13</v>
      </c>
      <c r="G308" s="3509">
        <v>44.79</v>
      </c>
      <c r="H308" s="3509" t="s">
        <v>3773</v>
      </c>
      <c r="I308" s="3546">
        <f>典型户型修正!S83</f>
        <v>0</v>
      </c>
    </row>
    <row r="309" spans="1:9" s="3472" customFormat="1" hidden="1">
      <c r="A309" s="3911"/>
      <c r="B309" s="3897"/>
      <c r="C309" s="3897"/>
      <c r="D309" s="3898"/>
      <c r="E309" s="3509">
        <v>-111</v>
      </c>
      <c r="F309" s="3522">
        <v>183.98</v>
      </c>
      <c r="G309" s="3509">
        <v>29.84</v>
      </c>
      <c r="H309" s="3509" t="s">
        <v>3773</v>
      </c>
      <c r="I309" s="3546">
        <f>典型户型修正!S84</f>
        <v>0</v>
      </c>
    </row>
    <row r="310" spans="1:9" s="3472" customFormat="1" hidden="1">
      <c r="A310" s="3911"/>
      <c r="B310" s="3897"/>
      <c r="C310" s="3897"/>
      <c r="D310" s="3898"/>
      <c r="E310" s="3509">
        <v>-112</v>
      </c>
      <c r="F310" s="3522">
        <v>162.04</v>
      </c>
      <c r="G310" s="3509">
        <v>26.28</v>
      </c>
      <c r="H310" s="3509" t="s">
        <v>3773</v>
      </c>
      <c r="I310" s="3546">
        <f>典型户型修正!S85</f>
        <v>0</v>
      </c>
    </row>
    <row r="311" spans="1:9" s="3472" customFormat="1" hidden="1">
      <c r="A311" s="3911"/>
      <c r="B311" s="3897"/>
      <c r="C311" s="3897"/>
      <c r="D311" s="3898"/>
      <c r="E311" s="3509">
        <v>-113</v>
      </c>
      <c r="F311" s="3522">
        <v>276.98</v>
      </c>
      <c r="G311" s="3509">
        <v>44.93</v>
      </c>
      <c r="H311" s="3509" t="s">
        <v>3773</v>
      </c>
      <c r="I311" s="3546">
        <f>典型户型修正!S86</f>
        <v>0</v>
      </c>
    </row>
    <row r="312" spans="1:9" s="3472" customFormat="1" hidden="1">
      <c r="A312" s="3911"/>
      <c r="B312" s="3897"/>
      <c r="C312" s="3897"/>
      <c r="D312" s="3898"/>
      <c r="E312" s="3509">
        <v>-114</v>
      </c>
      <c r="F312" s="3522">
        <v>724.45</v>
      </c>
      <c r="G312" s="3509">
        <v>117.51</v>
      </c>
      <c r="H312" s="3509" t="s">
        <v>3773</v>
      </c>
      <c r="I312" s="3546">
        <f>典型户型修正!S87</f>
        <v>0</v>
      </c>
    </row>
    <row r="313" spans="1:9" s="3472" customFormat="1" hidden="1">
      <c r="A313" s="3911"/>
      <c r="B313" s="3897"/>
      <c r="C313" s="3897"/>
      <c r="D313" s="3898"/>
      <c r="E313" s="3509">
        <v>-115</v>
      </c>
      <c r="F313" s="3522">
        <v>471.78</v>
      </c>
      <c r="G313" s="3509">
        <v>76.53</v>
      </c>
      <c r="H313" s="3509" t="s">
        <v>3773</v>
      </c>
      <c r="I313" s="3546">
        <f>典型户型修正!S88</f>
        <v>0</v>
      </c>
    </row>
    <row r="314" spans="1:9" s="3472" customFormat="1" hidden="1">
      <c r="A314" s="3911"/>
      <c r="B314" s="3897"/>
      <c r="C314" s="3897"/>
      <c r="D314" s="3898"/>
      <c r="E314" s="3514" t="s">
        <v>3446</v>
      </c>
      <c r="F314" s="3522">
        <v>40.43</v>
      </c>
      <c r="G314" s="3509">
        <v>6.55</v>
      </c>
      <c r="H314" s="3505" t="s">
        <v>3557</v>
      </c>
      <c r="I314" s="3552">
        <f ca="1">典型户型修正车!S200</f>
        <v>10</v>
      </c>
    </row>
    <row r="315" spans="1:9" s="3472" customFormat="1" hidden="1">
      <c r="A315" s="3911"/>
      <c r="B315" s="3897"/>
      <c r="C315" s="3897"/>
      <c r="D315" s="3898"/>
      <c r="E315" s="3514" t="s">
        <v>3774</v>
      </c>
      <c r="F315" s="3522">
        <v>40.43</v>
      </c>
      <c r="G315" s="3509">
        <v>6.55</v>
      </c>
      <c r="H315" s="3505" t="s">
        <v>3557</v>
      </c>
      <c r="I315" s="3552">
        <f ca="1">典型户型修正车!S201</f>
        <v>10</v>
      </c>
    </row>
    <row r="316" spans="1:9" s="3472" customFormat="1" hidden="1">
      <c r="A316" s="3911"/>
      <c r="B316" s="3897"/>
      <c r="C316" s="3897"/>
      <c r="D316" s="3898"/>
      <c r="E316" s="3514" t="s">
        <v>3449</v>
      </c>
      <c r="F316" s="3522">
        <v>40.43</v>
      </c>
      <c r="G316" s="3509">
        <v>6.55</v>
      </c>
      <c r="H316" s="3505" t="s">
        <v>3557</v>
      </c>
      <c r="I316" s="3552">
        <f ca="1">典型户型修正车!S202</f>
        <v>10</v>
      </c>
    </row>
    <row r="317" spans="1:9" s="3472" customFormat="1" hidden="1">
      <c r="A317" s="3911"/>
      <c r="B317" s="3897"/>
      <c r="C317" s="3897"/>
      <c r="D317" s="3898"/>
      <c r="E317" s="3514" t="s">
        <v>3775</v>
      </c>
      <c r="F317" s="3522">
        <v>68.27</v>
      </c>
      <c r="G317" s="3509">
        <v>11.07</v>
      </c>
      <c r="H317" s="3505" t="s">
        <v>3557</v>
      </c>
      <c r="I317" s="3552">
        <f ca="1">典型户型修正车!S203</f>
        <v>16</v>
      </c>
    </row>
    <row r="318" spans="1:9" s="3472" customFormat="1" hidden="1">
      <c r="A318" s="3911"/>
      <c r="B318" s="3897"/>
      <c r="C318" s="3897"/>
      <c r="D318" s="3898"/>
      <c r="E318" s="3514" t="s">
        <v>3776</v>
      </c>
      <c r="F318" s="3522">
        <v>40.43</v>
      </c>
      <c r="G318" s="3509">
        <v>6.55</v>
      </c>
      <c r="H318" s="3505" t="s">
        <v>3557</v>
      </c>
      <c r="I318" s="3552">
        <f ca="1">典型户型修正车!S204</f>
        <v>10</v>
      </c>
    </row>
    <row r="319" spans="1:9" s="3472" customFormat="1" hidden="1">
      <c r="A319" s="3911"/>
      <c r="B319" s="3897"/>
      <c r="C319" s="3897"/>
      <c r="D319" s="3898"/>
      <c r="E319" s="3514" t="s">
        <v>3777</v>
      </c>
      <c r="F319" s="3522">
        <v>40.43</v>
      </c>
      <c r="G319" s="3509">
        <v>6.55</v>
      </c>
      <c r="H319" s="3505" t="s">
        <v>3557</v>
      </c>
      <c r="I319" s="3552">
        <f ca="1">典型户型修正车!S205</f>
        <v>10</v>
      </c>
    </row>
    <row r="320" spans="1:9" s="3472" customFormat="1" hidden="1">
      <c r="A320" s="3911"/>
      <c r="B320" s="3897"/>
      <c r="C320" s="3897"/>
      <c r="D320" s="3898"/>
      <c r="E320" s="3514" t="s">
        <v>3778</v>
      </c>
      <c r="F320" s="3522">
        <v>40.43</v>
      </c>
      <c r="G320" s="3509">
        <v>6.55</v>
      </c>
      <c r="H320" s="3505" t="s">
        <v>3557</v>
      </c>
      <c r="I320" s="3552">
        <f ca="1">典型户型修正车!S206</f>
        <v>10</v>
      </c>
    </row>
    <row r="321" spans="1:9" s="3472" customFormat="1" hidden="1">
      <c r="A321" s="3911"/>
      <c r="B321" s="3897"/>
      <c r="C321" s="3897"/>
      <c r="D321" s="3898"/>
      <c r="E321" s="3514" t="s">
        <v>3779</v>
      </c>
      <c r="F321" s="3522">
        <v>40.43</v>
      </c>
      <c r="G321" s="3509">
        <v>6.55</v>
      </c>
      <c r="H321" s="3505" t="s">
        <v>3557</v>
      </c>
      <c r="I321" s="3552">
        <f ca="1">典型户型修正车!S207</f>
        <v>10</v>
      </c>
    </row>
    <row r="322" spans="1:9" s="3472" customFormat="1" hidden="1">
      <c r="A322" s="3911"/>
      <c r="B322" s="3897"/>
      <c r="C322" s="3897"/>
      <c r="D322" s="3898"/>
      <c r="E322" s="3514" t="s">
        <v>3780</v>
      </c>
      <c r="F322" s="3522">
        <v>40.43</v>
      </c>
      <c r="G322" s="3509">
        <v>6.55</v>
      </c>
      <c r="H322" s="3505" t="s">
        <v>3557</v>
      </c>
      <c r="I322" s="3552">
        <f ca="1">典型户型修正车!S208</f>
        <v>10</v>
      </c>
    </row>
    <row r="323" spans="1:9" s="3472" customFormat="1" hidden="1">
      <c r="A323" s="3911"/>
      <c r="B323" s="3897"/>
      <c r="C323" s="3897"/>
      <c r="D323" s="3898"/>
      <c r="E323" s="3514" t="s">
        <v>3781</v>
      </c>
      <c r="F323" s="3522">
        <v>40.43</v>
      </c>
      <c r="G323" s="3509">
        <v>6.55</v>
      </c>
      <c r="H323" s="3505" t="s">
        <v>3557</v>
      </c>
      <c r="I323" s="3552">
        <f ca="1">典型户型修正车!S209</f>
        <v>10</v>
      </c>
    </row>
    <row r="324" spans="1:9" s="3472" customFormat="1" hidden="1">
      <c r="A324" s="3911"/>
      <c r="B324" s="3897"/>
      <c r="C324" s="3897"/>
      <c r="D324" s="3898"/>
      <c r="E324" s="3514" t="s">
        <v>3448</v>
      </c>
      <c r="F324" s="3522">
        <v>40.43</v>
      </c>
      <c r="G324" s="3509">
        <v>6.55</v>
      </c>
      <c r="H324" s="3505" t="s">
        <v>3557</v>
      </c>
      <c r="I324" s="3552">
        <f ca="1">典型户型修正车!S210</f>
        <v>10</v>
      </c>
    </row>
    <row r="325" spans="1:9" s="3472" customFormat="1" hidden="1">
      <c r="A325" s="3911"/>
      <c r="B325" s="3897"/>
      <c r="C325" s="3897"/>
      <c r="D325" s="3898"/>
      <c r="E325" s="3514" t="s">
        <v>3782</v>
      </c>
      <c r="F325" s="3522">
        <v>40.43</v>
      </c>
      <c r="G325" s="3509">
        <v>6.55</v>
      </c>
      <c r="H325" s="3505" t="s">
        <v>3557</v>
      </c>
      <c r="I325" s="3552">
        <f ca="1">典型户型修正车!S211</f>
        <v>10</v>
      </c>
    </row>
    <row r="326" spans="1:9" s="3472" customFormat="1" hidden="1">
      <c r="A326" s="3911"/>
      <c r="B326" s="3897"/>
      <c r="C326" s="3897"/>
      <c r="D326" s="3898"/>
      <c r="E326" s="3514" t="s">
        <v>3783</v>
      </c>
      <c r="F326" s="3522">
        <v>40.43</v>
      </c>
      <c r="G326" s="3509">
        <v>6.55</v>
      </c>
      <c r="H326" s="3505" t="s">
        <v>3557</v>
      </c>
      <c r="I326" s="3552">
        <f ca="1">典型户型修正车!S212</f>
        <v>10</v>
      </c>
    </row>
    <row r="327" spans="1:9" s="3472" customFormat="1" hidden="1">
      <c r="A327" s="3911"/>
      <c r="B327" s="3897"/>
      <c r="C327" s="3897"/>
      <c r="D327" s="3898"/>
      <c r="E327" s="3514" t="s">
        <v>3784</v>
      </c>
      <c r="F327" s="3522">
        <v>40.43</v>
      </c>
      <c r="G327" s="3509">
        <v>6.55</v>
      </c>
      <c r="H327" s="3505" t="s">
        <v>3557</v>
      </c>
      <c r="I327" s="3552">
        <f ca="1">典型户型修正车!S213</f>
        <v>10</v>
      </c>
    </row>
    <row r="328" spans="1:9" s="3472" customFormat="1" hidden="1">
      <c r="A328" s="3911"/>
      <c r="B328" s="3897"/>
      <c r="C328" s="3897"/>
      <c r="D328" s="3898"/>
      <c r="E328" s="3514" t="s">
        <v>3785</v>
      </c>
      <c r="F328" s="3522">
        <v>40.43</v>
      </c>
      <c r="G328" s="3509">
        <v>6.55</v>
      </c>
      <c r="H328" s="3505" t="s">
        <v>3557</v>
      </c>
      <c r="I328" s="3552">
        <f ca="1">典型户型修正车!S214</f>
        <v>10</v>
      </c>
    </row>
    <row r="329" spans="1:9" s="3472" customFormat="1" hidden="1">
      <c r="A329" s="3911"/>
      <c r="B329" s="3897"/>
      <c r="C329" s="3897"/>
      <c r="D329" s="3898"/>
      <c r="E329" s="3514" t="s">
        <v>3786</v>
      </c>
      <c r="F329" s="3522">
        <v>40.43</v>
      </c>
      <c r="G329" s="3509">
        <v>6.55</v>
      </c>
      <c r="H329" s="3505" t="s">
        <v>3557</v>
      </c>
      <c r="I329" s="3552">
        <f ca="1">典型户型修正车!S215</f>
        <v>10</v>
      </c>
    </row>
    <row r="330" spans="1:9" s="3472" customFormat="1" hidden="1">
      <c r="A330" s="3911"/>
      <c r="B330" s="3897"/>
      <c r="C330" s="3897"/>
      <c r="D330" s="3898"/>
      <c r="E330" s="3514" t="s">
        <v>3787</v>
      </c>
      <c r="F330" s="3522">
        <v>40.43</v>
      </c>
      <c r="G330" s="3509">
        <v>6.55</v>
      </c>
      <c r="H330" s="3505" t="s">
        <v>3557</v>
      </c>
      <c r="I330" s="3552">
        <f ca="1">典型户型修正车!S216</f>
        <v>10</v>
      </c>
    </row>
    <row r="331" spans="1:9" s="3472" customFormat="1" hidden="1">
      <c r="A331" s="3911"/>
      <c r="B331" s="3897"/>
      <c r="C331" s="3897"/>
      <c r="D331" s="3898"/>
      <c r="E331" s="3514" t="s">
        <v>3788</v>
      </c>
      <c r="F331" s="3522">
        <v>40.43</v>
      </c>
      <c r="G331" s="3509">
        <v>6.55</v>
      </c>
      <c r="H331" s="3505" t="s">
        <v>3557</v>
      </c>
      <c r="I331" s="3552">
        <f ca="1">典型户型修正车!S217</f>
        <v>10</v>
      </c>
    </row>
    <row r="332" spans="1:9" s="3472" customFormat="1" hidden="1">
      <c r="A332" s="3911"/>
      <c r="B332" s="3897"/>
      <c r="C332" s="3897"/>
      <c r="D332" s="3898"/>
      <c r="E332" s="3514" t="s">
        <v>3789</v>
      </c>
      <c r="F332" s="3522">
        <v>40.43</v>
      </c>
      <c r="G332" s="3509">
        <v>6.55</v>
      </c>
      <c r="H332" s="3505" t="s">
        <v>3557</v>
      </c>
      <c r="I332" s="3552">
        <f ca="1">典型户型修正车!S218</f>
        <v>10</v>
      </c>
    </row>
    <row r="333" spans="1:9" s="3472" customFormat="1" hidden="1">
      <c r="A333" s="3911"/>
      <c r="B333" s="3897"/>
      <c r="C333" s="3897"/>
      <c r="D333" s="3898"/>
      <c r="E333" s="3514" t="s">
        <v>3790</v>
      </c>
      <c r="F333" s="3522">
        <v>40.43</v>
      </c>
      <c r="G333" s="3509">
        <v>6.55</v>
      </c>
      <c r="H333" s="3505" t="s">
        <v>3557</v>
      </c>
      <c r="I333" s="3552">
        <f ca="1">典型户型修正车!S219</f>
        <v>10</v>
      </c>
    </row>
    <row r="334" spans="1:9" s="3472" customFormat="1" hidden="1">
      <c r="A334" s="3911"/>
      <c r="B334" s="3897"/>
      <c r="C334" s="3897"/>
      <c r="D334" s="3898"/>
      <c r="E334" s="3514" t="s">
        <v>3791</v>
      </c>
      <c r="F334" s="3522">
        <v>40.43</v>
      </c>
      <c r="G334" s="3509">
        <v>6.55</v>
      </c>
      <c r="H334" s="3505" t="s">
        <v>3557</v>
      </c>
      <c r="I334" s="3552">
        <f ca="1">典型户型修正车!S220</f>
        <v>10</v>
      </c>
    </row>
    <row r="335" spans="1:9" s="3472" customFormat="1" hidden="1">
      <c r="A335" s="3911"/>
      <c r="B335" s="3897" t="s">
        <v>3769</v>
      </c>
      <c r="C335" s="3897" t="s">
        <v>3770</v>
      </c>
      <c r="D335" s="3898" t="s">
        <v>3771</v>
      </c>
      <c r="E335" s="3514" t="s">
        <v>3792</v>
      </c>
      <c r="F335" s="3522">
        <v>40.43</v>
      </c>
      <c r="G335" s="3509">
        <v>6.55</v>
      </c>
      <c r="H335" s="3505" t="s">
        <v>3557</v>
      </c>
      <c r="I335" s="3552">
        <f ca="1">典型户型修正车!S221</f>
        <v>10</v>
      </c>
    </row>
    <row r="336" spans="1:9" s="3472" customFormat="1" hidden="1">
      <c r="A336" s="3911"/>
      <c r="B336" s="3897"/>
      <c r="C336" s="3897"/>
      <c r="D336" s="3898"/>
      <c r="E336" s="3514" t="s">
        <v>3793</v>
      </c>
      <c r="F336" s="3522">
        <v>40.43</v>
      </c>
      <c r="G336" s="3509">
        <v>6.55</v>
      </c>
      <c r="H336" s="3505" t="s">
        <v>3557</v>
      </c>
      <c r="I336" s="3552">
        <f ca="1">典型户型修正车!S222</f>
        <v>10</v>
      </c>
    </row>
    <row r="337" spans="1:9" s="3472" customFormat="1" hidden="1">
      <c r="A337" s="3911"/>
      <c r="B337" s="3897"/>
      <c r="C337" s="3897"/>
      <c r="D337" s="3898"/>
      <c r="E337" s="3514" t="s">
        <v>3794</v>
      </c>
      <c r="F337" s="3522">
        <v>40.43</v>
      </c>
      <c r="G337" s="3509">
        <v>6.55</v>
      </c>
      <c r="H337" s="3505" t="s">
        <v>3557</v>
      </c>
      <c r="I337" s="3552">
        <f ca="1">典型户型修正车!S223</f>
        <v>10</v>
      </c>
    </row>
    <row r="338" spans="1:9" s="3472" customFormat="1" hidden="1">
      <c r="A338" s="3911"/>
      <c r="B338" s="3897"/>
      <c r="C338" s="3897"/>
      <c r="D338" s="3898"/>
      <c r="E338" s="3514" t="s">
        <v>3795</v>
      </c>
      <c r="F338" s="3522">
        <v>40.43</v>
      </c>
      <c r="G338" s="3509">
        <v>6.55</v>
      </c>
      <c r="H338" s="3505" t="s">
        <v>3557</v>
      </c>
      <c r="I338" s="3552">
        <f ca="1">典型户型修正车!S224</f>
        <v>10</v>
      </c>
    </row>
    <row r="339" spans="1:9" s="3472" customFormat="1" hidden="1">
      <c r="A339" s="3911"/>
      <c r="B339" s="3897"/>
      <c r="C339" s="3897"/>
      <c r="D339" s="3898"/>
      <c r="E339" s="3514" t="s">
        <v>3796</v>
      </c>
      <c r="F339" s="3522">
        <v>40.43</v>
      </c>
      <c r="G339" s="3509">
        <v>6.55</v>
      </c>
      <c r="H339" s="3505" t="s">
        <v>3557</v>
      </c>
      <c r="I339" s="3552">
        <f ca="1">典型户型修正车!S225</f>
        <v>10</v>
      </c>
    </row>
    <row r="340" spans="1:9" s="3472" customFormat="1" hidden="1">
      <c r="A340" s="3911"/>
      <c r="B340" s="3897"/>
      <c r="C340" s="3897"/>
      <c r="D340" s="3898"/>
      <c r="E340" s="3514" t="s">
        <v>3797</v>
      </c>
      <c r="F340" s="3522">
        <v>40.43</v>
      </c>
      <c r="G340" s="3509">
        <v>6.55</v>
      </c>
      <c r="H340" s="3505" t="s">
        <v>3557</v>
      </c>
      <c r="I340" s="3552">
        <f ca="1">典型户型修正车!S226</f>
        <v>10</v>
      </c>
    </row>
    <row r="341" spans="1:9" s="3472" customFormat="1" hidden="1">
      <c r="A341" s="3911"/>
      <c r="B341" s="3897"/>
      <c r="C341" s="3897"/>
      <c r="D341" s="3898"/>
      <c r="E341" s="3514" t="s">
        <v>3798</v>
      </c>
      <c r="F341" s="3522">
        <v>80.86</v>
      </c>
      <c r="G341" s="3509">
        <v>13.12</v>
      </c>
      <c r="H341" s="3505" t="s">
        <v>3557</v>
      </c>
      <c r="I341" s="3552">
        <f ca="1">典型户型修正车!S227</f>
        <v>19</v>
      </c>
    </row>
    <row r="342" spans="1:9" s="3472" customFormat="1" hidden="1">
      <c r="A342" s="3911"/>
      <c r="B342" s="3897"/>
      <c r="C342" s="3897"/>
      <c r="D342" s="3898"/>
      <c r="E342" s="3514" t="s">
        <v>3799</v>
      </c>
      <c r="F342" s="3522">
        <v>40.43</v>
      </c>
      <c r="G342" s="3509">
        <v>6.55</v>
      </c>
      <c r="H342" s="3505" t="s">
        <v>3557</v>
      </c>
      <c r="I342" s="3552">
        <f ca="1">典型户型修正车!S228</f>
        <v>10</v>
      </c>
    </row>
    <row r="343" spans="1:9" s="3472" customFormat="1" hidden="1">
      <c r="A343" s="3911"/>
      <c r="B343" s="3897"/>
      <c r="C343" s="3897"/>
      <c r="D343" s="3898"/>
      <c r="E343" s="3514" t="s">
        <v>3800</v>
      </c>
      <c r="F343" s="3522">
        <v>40.43</v>
      </c>
      <c r="G343" s="3509">
        <v>6.55</v>
      </c>
      <c r="H343" s="3505" t="s">
        <v>3557</v>
      </c>
      <c r="I343" s="3552">
        <f ca="1">典型户型修正车!S229</f>
        <v>10</v>
      </c>
    </row>
    <row r="344" spans="1:9" s="3472" customFormat="1" hidden="1">
      <c r="A344" s="3911"/>
      <c r="B344" s="3897"/>
      <c r="C344" s="3897"/>
      <c r="D344" s="3898"/>
      <c r="E344" s="3514" t="s">
        <v>3801</v>
      </c>
      <c r="F344" s="3522">
        <v>40.43</v>
      </c>
      <c r="G344" s="3509">
        <v>6.55</v>
      </c>
      <c r="H344" s="3505" t="s">
        <v>3557</v>
      </c>
      <c r="I344" s="3552">
        <f ca="1">典型户型修正车!S230</f>
        <v>10</v>
      </c>
    </row>
    <row r="345" spans="1:9" s="3472" customFormat="1" hidden="1">
      <c r="A345" s="3911"/>
      <c r="B345" s="3897"/>
      <c r="C345" s="3897"/>
      <c r="D345" s="3898"/>
      <c r="E345" s="3514" t="s">
        <v>3802</v>
      </c>
      <c r="F345" s="3522">
        <v>40.43</v>
      </c>
      <c r="G345" s="3509">
        <v>6.55</v>
      </c>
      <c r="H345" s="3505" t="s">
        <v>3557</v>
      </c>
      <c r="I345" s="3552">
        <f ca="1">典型户型修正车!S231</f>
        <v>10</v>
      </c>
    </row>
    <row r="346" spans="1:9" s="3472" customFormat="1" hidden="1">
      <c r="A346" s="3911"/>
      <c r="B346" s="3897"/>
      <c r="C346" s="3897"/>
      <c r="D346" s="3898"/>
      <c r="E346" s="3514" t="s">
        <v>3803</v>
      </c>
      <c r="F346" s="3522">
        <v>68.27</v>
      </c>
      <c r="G346" s="3509">
        <v>11.07</v>
      </c>
      <c r="H346" s="3505" t="s">
        <v>3557</v>
      </c>
      <c r="I346" s="3552">
        <f ca="1">典型户型修正车!S232</f>
        <v>16</v>
      </c>
    </row>
    <row r="347" spans="1:9" s="3472" customFormat="1" hidden="1">
      <c r="A347" s="3911"/>
      <c r="B347" s="3897"/>
      <c r="C347" s="3897"/>
      <c r="D347" s="3898"/>
      <c r="E347" s="3514" t="s">
        <v>3804</v>
      </c>
      <c r="F347" s="3522">
        <v>40.43</v>
      </c>
      <c r="G347" s="3509">
        <v>6.55</v>
      </c>
      <c r="H347" s="3505" t="s">
        <v>3557</v>
      </c>
      <c r="I347" s="3552">
        <f ca="1">典型户型修正车!S233</f>
        <v>10</v>
      </c>
    </row>
    <row r="348" spans="1:9" s="3472" customFormat="1" hidden="1">
      <c r="A348" s="3911"/>
      <c r="B348" s="3897"/>
      <c r="C348" s="3897"/>
      <c r="D348" s="3898"/>
      <c r="E348" s="3514" t="s">
        <v>3805</v>
      </c>
      <c r="F348" s="3522">
        <v>40.43</v>
      </c>
      <c r="G348" s="3509">
        <v>6.55</v>
      </c>
      <c r="H348" s="3505" t="s">
        <v>3557</v>
      </c>
      <c r="I348" s="3552">
        <f ca="1">典型户型修正车!S234</f>
        <v>10</v>
      </c>
    </row>
    <row r="349" spans="1:9" s="3472" customFormat="1" hidden="1">
      <c r="A349" s="3911"/>
      <c r="B349" s="3897"/>
      <c r="C349" s="3897"/>
      <c r="D349" s="3898"/>
      <c r="E349" s="3514" t="s">
        <v>3806</v>
      </c>
      <c r="F349" s="3522">
        <v>40.43</v>
      </c>
      <c r="G349" s="3509">
        <v>6.55</v>
      </c>
      <c r="H349" s="3505" t="s">
        <v>3557</v>
      </c>
      <c r="I349" s="3552">
        <f ca="1">典型户型修正车!S235</f>
        <v>10</v>
      </c>
    </row>
    <row r="350" spans="1:9" s="3472" customFormat="1" hidden="1">
      <c r="A350" s="3911"/>
      <c r="B350" s="3897"/>
      <c r="C350" s="3897"/>
      <c r="D350" s="3898"/>
      <c r="E350" s="3514" t="s">
        <v>3807</v>
      </c>
      <c r="F350" s="3522">
        <v>40.43</v>
      </c>
      <c r="G350" s="3509">
        <v>6.55</v>
      </c>
      <c r="H350" s="3505" t="s">
        <v>3557</v>
      </c>
      <c r="I350" s="3552">
        <f ca="1">典型户型修正车!S236</f>
        <v>10</v>
      </c>
    </row>
    <row r="351" spans="1:9" s="3472" customFormat="1" hidden="1">
      <c r="A351" s="3911"/>
      <c r="B351" s="3897"/>
      <c r="C351" s="3897"/>
      <c r="D351" s="3898"/>
      <c r="E351" s="3514" t="s">
        <v>3808</v>
      </c>
      <c r="F351" s="3522">
        <v>80.86</v>
      </c>
      <c r="G351" s="3509">
        <v>13.12</v>
      </c>
      <c r="H351" s="3505" t="s">
        <v>3557</v>
      </c>
      <c r="I351" s="3552">
        <f ca="1">典型户型修正车!S237</f>
        <v>19</v>
      </c>
    </row>
    <row r="352" spans="1:9" s="3472" customFormat="1" hidden="1">
      <c r="A352" s="3911"/>
      <c r="B352" s="3897"/>
      <c r="C352" s="3897"/>
      <c r="D352" s="3898"/>
      <c r="E352" s="3514" t="s">
        <v>3809</v>
      </c>
      <c r="F352" s="3522">
        <v>80.86</v>
      </c>
      <c r="G352" s="3509">
        <v>13.12</v>
      </c>
      <c r="H352" s="3505" t="s">
        <v>3557</v>
      </c>
      <c r="I352" s="3552">
        <f ca="1">典型户型修正车!S238</f>
        <v>19</v>
      </c>
    </row>
    <row r="353" spans="1:9" s="3472" customFormat="1" hidden="1">
      <c r="A353" s="3911"/>
      <c r="B353" s="3897"/>
      <c r="C353" s="3897"/>
      <c r="D353" s="3898"/>
      <c r="E353" s="3514" t="s">
        <v>3810</v>
      </c>
      <c r="F353" s="3522">
        <v>80.86</v>
      </c>
      <c r="G353" s="3509">
        <v>13.12</v>
      </c>
      <c r="H353" s="3505" t="s">
        <v>3557</v>
      </c>
      <c r="I353" s="3552">
        <f ca="1">典型户型修正车!S239</f>
        <v>19</v>
      </c>
    </row>
    <row r="354" spans="1:9" s="3472" customFormat="1" hidden="1">
      <c r="A354" s="3911"/>
      <c r="B354" s="3897"/>
      <c r="C354" s="3897"/>
      <c r="D354" s="3898"/>
      <c r="E354" s="3514" t="s">
        <v>3811</v>
      </c>
      <c r="F354" s="3522">
        <v>80.86</v>
      </c>
      <c r="G354" s="3509">
        <v>13.12</v>
      </c>
      <c r="H354" s="3505" t="s">
        <v>3557</v>
      </c>
      <c r="I354" s="3552">
        <f ca="1">典型户型修正车!S240</f>
        <v>19</v>
      </c>
    </row>
    <row r="355" spans="1:9" s="3472" customFormat="1" hidden="1">
      <c r="A355" s="3911"/>
      <c r="B355" s="3897"/>
      <c r="C355" s="3897"/>
      <c r="D355" s="3898"/>
      <c r="E355" s="3514" t="s">
        <v>3812</v>
      </c>
      <c r="F355" s="3522">
        <v>80.86</v>
      </c>
      <c r="G355" s="3509">
        <v>13.12</v>
      </c>
      <c r="H355" s="3505" t="s">
        <v>3557</v>
      </c>
      <c r="I355" s="3552">
        <f ca="1">典型户型修正车!S241</f>
        <v>19</v>
      </c>
    </row>
    <row r="356" spans="1:9" s="3472" customFormat="1" hidden="1">
      <c r="A356" s="3911"/>
      <c r="B356" s="3897"/>
      <c r="C356" s="3897"/>
      <c r="D356" s="3898"/>
      <c r="E356" s="3514" t="s">
        <v>3813</v>
      </c>
      <c r="F356" s="3522">
        <v>40.43</v>
      </c>
      <c r="G356" s="3509">
        <v>6.55</v>
      </c>
      <c r="H356" s="3505" t="s">
        <v>3557</v>
      </c>
      <c r="I356" s="3552">
        <f ca="1">典型户型修正车!S242</f>
        <v>10</v>
      </c>
    </row>
    <row r="357" spans="1:9" s="3472" customFormat="1" hidden="1">
      <c r="A357" s="3911"/>
      <c r="B357" s="3897"/>
      <c r="C357" s="3897"/>
      <c r="D357" s="3898"/>
      <c r="E357" s="3514" t="s">
        <v>3814</v>
      </c>
      <c r="F357" s="3522">
        <v>40.43</v>
      </c>
      <c r="G357" s="3509">
        <v>6.55</v>
      </c>
      <c r="H357" s="3505" t="s">
        <v>3557</v>
      </c>
      <c r="I357" s="3552">
        <f ca="1">典型户型修正车!S243</f>
        <v>10</v>
      </c>
    </row>
    <row r="358" spans="1:9" s="3472" customFormat="1" hidden="1">
      <c r="A358" s="3911"/>
      <c r="B358" s="3897"/>
      <c r="C358" s="3897"/>
      <c r="D358" s="3898"/>
      <c r="E358" s="3514" t="s">
        <v>3815</v>
      </c>
      <c r="F358" s="3522">
        <v>40.43</v>
      </c>
      <c r="G358" s="3509">
        <v>6.55</v>
      </c>
      <c r="H358" s="3505" t="s">
        <v>3557</v>
      </c>
      <c r="I358" s="3552">
        <f ca="1">典型户型修正车!S244</f>
        <v>10</v>
      </c>
    </row>
    <row r="359" spans="1:9" s="3472" customFormat="1" hidden="1">
      <c r="A359" s="3911"/>
      <c r="B359" s="3897"/>
      <c r="C359" s="3897"/>
      <c r="D359" s="3898"/>
      <c r="E359" s="3514" t="s">
        <v>3816</v>
      </c>
      <c r="F359" s="3522">
        <v>40.43</v>
      </c>
      <c r="G359" s="3509">
        <v>6.55</v>
      </c>
      <c r="H359" s="3505" t="s">
        <v>3557</v>
      </c>
      <c r="I359" s="3552">
        <f ca="1">典型户型修正车!S245</f>
        <v>10</v>
      </c>
    </row>
    <row r="360" spans="1:9" s="3472" customFormat="1" hidden="1">
      <c r="A360" s="3911"/>
      <c r="B360" s="3897"/>
      <c r="C360" s="3897"/>
      <c r="D360" s="3898"/>
      <c r="E360" s="3514" t="s">
        <v>3817</v>
      </c>
      <c r="F360" s="3522">
        <v>40.43</v>
      </c>
      <c r="G360" s="3509">
        <v>6.55</v>
      </c>
      <c r="H360" s="3505" t="s">
        <v>3557</v>
      </c>
      <c r="I360" s="3552">
        <f ca="1">典型户型修正车!S246</f>
        <v>10</v>
      </c>
    </row>
    <row r="361" spans="1:9" s="3472" customFormat="1" hidden="1">
      <c r="A361" s="3911"/>
      <c r="B361" s="3897"/>
      <c r="C361" s="3897"/>
      <c r="D361" s="3898"/>
      <c r="E361" s="3514" t="s">
        <v>3818</v>
      </c>
      <c r="F361" s="3522">
        <v>40.43</v>
      </c>
      <c r="G361" s="3509">
        <v>6.55</v>
      </c>
      <c r="H361" s="3505" t="s">
        <v>3557</v>
      </c>
      <c r="I361" s="3552">
        <f ca="1">典型户型修正车!S247</f>
        <v>10</v>
      </c>
    </row>
    <row r="362" spans="1:9" s="3472" customFormat="1" hidden="1">
      <c r="A362" s="3911"/>
      <c r="B362" s="3897"/>
      <c r="C362" s="3897"/>
      <c r="D362" s="3898"/>
      <c r="E362" s="3514" t="s">
        <v>3819</v>
      </c>
      <c r="F362" s="3522">
        <v>40.43</v>
      </c>
      <c r="G362" s="3509">
        <v>6.55</v>
      </c>
      <c r="H362" s="3505" t="s">
        <v>3557</v>
      </c>
      <c r="I362" s="3552">
        <f ca="1">典型户型修正车!S248</f>
        <v>10</v>
      </c>
    </row>
    <row r="363" spans="1:9" s="3472" customFormat="1" hidden="1">
      <c r="A363" s="3911"/>
      <c r="B363" s="3897"/>
      <c r="C363" s="3897"/>
      <c r="D363" s="3898"/>
      <c r="E363" s="3514" t="s">
        <v>3820</v>
      </c>
      <c r="F363" s="3522">
        <v>40.43</v>
      </c>
      <c r="G363" s="3509">
        <v>6.55</v>
      </c>
      <c r="H363" s="3505" t="s">
        <v>3557</v>
      </c>
      <c r="I363" s="3552">
        <f ca="1">典型户型修正车!S249</f>
        <v>10</v>
      </c>
    </row>
    <row r="364" spans="1:9" s="3472" customFormat="1" hidden="1">
      <c r="A364" s="3911"/>
      <c r="B364" s="3897"/>
      <c r="C364" s="3897"/>
      <c r="D364" s="3898"/>
      <c r="E364" s="3514" t="s">
        <v>3821</v>
      </c>
      <c r="F364" s="3522">
        <v>40.43</v>
      </c>
      <c r="G364" s="3509">
        <v>6.55</v>
      </c>
      <c r="H364" s="3505" t="s">
        <v>3557</v>
      </c>
      <c r="I364" s="3552">
        <f ca="1">典型户型修正车!S250</f>
        <v>10</v>
      </c>
    </row>
    <row r="365" spans="1:9" s="3472" customFormat="1" hidden="1">
      <c r="A365" s="3911"/>
      <c r="B365" s="3897"/>
      <c r="C365" s="3897"/>
      <c r="D365" s="3898"/>
      <c r="E365" s="3514" t="s">
        <v>3822</v>
      </c>
      <c r="F365" s="3522">
        <v>40.43</v>
      </c>
      <c r="G365" s="3509">
        <v>6.55</v>
      </c>
      <c r="H365" s="3505" t="s">
        <v>3557</v>
      </c>
      <c r="I365" s="3552">
        <f ca="1">典型户型修正车!S251</f>
        <v>10</v>
      </c>
    </row>
    <row r="366" spans="1:9" s="3472" customFormat="1" hidden="1">
      <c r="A366" s="3911"/>
      <c r="B366" s="3897"/>
      <c r="C366" s="3897"/>
      <c r="D366" s="3898"/>
      <c r="E366" s="3514" t="s">
        <v>3823</v>
      </c>
      <c r="F366" s="3522">
        <v>40.43</v>
      </c>
      <c r="G366" s="3509">
        <v>6.55</v>
      </c>
      <c r="H366" s="3505" t="s">
        <v>3557</v>
      </c>
      <c r="I366" s="3552">
        <f ca="1">典型户型修正车!S252</f>
        <v>10</v>
      </c>
    </row>
    <row r="367" spans="1:9" s="3472" customFormat="1" hidden="1">
      <c r="A367" s="3911"/>
      <c r="B367" s="3897"/>
      <c r="C367" s="3897"/>
      <c r="D367" s="3898"/>
      <c r="E367" s="3514" t="s">
        <v>3824</v>
      </c>
      <c r="F367" s="3522">
        <v>40.43</v>
      </c>
      <c r="G367" s="3509">
        <v>6.55</v>
      </c>
      <c r="H367" s="3505" t="s">
        <v>3557</v>
      </c>
      <c r="I367" s="3552">
        <f ca="1">典型户型修正车!S253</f>
        <v>10</v>
      </c>
    </row>
    <row r="368" spans="1:9" s="3472" customFormat="1" hidden="1">
      <c r="A368" s="3911"/>
      <c r="B368" s="3897"/>
      <c r="C368" s="3897"/>
      <c r="D368" s="3898"/>
      <c r="E368" s="3514" t="s">
        <v>3825</v>
      </c>
      <c r="F368" s="3522">
        <v>40.43</v>
      </c>
      <c r="G368" s="3509">
        <v>6.55</v>
      </c>
      <c r="H368" s="3505" t="s">
        <v>3557</v>
      </c>
      <c r="I368" s="3552">
        <f ca="1">典型户型修正车!S254</f>
        <v>10</v>
      </c>
    </row>
    <row r="369" spans="1:9" s="3472" customFormat="1" hidden="1">
      <c r="A369" s="3911"/>
      <c r="B369" s="3897"/>
      <c r="C369" s="3897"/>
      <c r="D369" s="3898"/>
      <c r="E369" s="3514" t="s">
        <v>3826</v>
      </c>
      <c r="F369" s="3522">
        <v>40.43</v>
      </c>
      <c r="G369" s="3509">
        <v>6.55</v>
      </c>
      <c r="H369" s="3505" t="s">
        <v>3557</v>
      </c>
      <c r="I369" s="3552">
        <f ca="1">典型户型修正车!S255</f>
        <v>10</v>
      </c>
    </row>
    <row r="370" spans="1:9" s="3472" customFormat="1" hidden="1">
      <c r="A370" s="3911"/>
      <c r="B370" s="3897"/>
      <c r="C370" s="3897"/>
      <c r="D370" s="3898"/>
      <c r="E370" s="3514" t="s">
        <v>3827</v>
      </c>
      <c r="F370" s="3522">
        <v>40.43</v>
      </c>
      <c r="G370" s="3509">
        <v>6.55</v>
      </c>
      <c r="H370" s="3505" t="s">
        <v>3557</v>
      </c>
      <c r="I370" s="3552">
        <f ca="1">典型户型修正车!S256</f>
        <v>10</v>
      </c>
    </row>
    <row r="371" spans="1:9" s="3472" customFormat="1" hidden="1">
      <c r="A371" s="3911"/>
      <c r="B371" s="3897"/>
      <c r="C371" s="3897"/>
      <c r="D371" s="3898"/>
      <c r="E371" s="3514" t="s">
        <v>3828</v>
      </c>
      <c r="F371" s="3522">
        <v>40.43</v>
      </c>
      <c r="G371" s="3509">
        <v>6.55</v>
      </c>
      <c r="H371" s="3505" t="s">
        <v>3557</v>
      </c>
      <c r="I371" s="3552">
        <f ca="1">典型户型修正车!S257</f>
        <v>10</v>
      </c>
    </row>
    <row r="372" spans="1:9" s="3472" customFormat="1" hidden="1">
      <c r="A372" s="3911"/>
      <c r="B372" s="3897" t="s">
        <v>3769</v>
      </c>
      <c r="C372" s="3897" t="s">
        <v>3770</v>
      </c>
      <c r="D372" s="3898" t="s">
        <v>3771</v>
      </c>
      <c r="E372" s="3514" t="s">
        <v>3829</v>
      </c>
      <c r="F372" s="3522">
        <v>40.43</v>
      </c>
      <c r="G372" s="3509">
        <v>6.55</v>
      </c>
      <c r="H372" s="3505" t="s">
        <v>3557</v>
      </c>
      <c r="I372" s="3552">
        <f ca="1">典型户型修正车!S258</f>
        <v>10</v>
      </c>
    </row>
    <row r="373" spans="1:9" s="3472" customFormat="1" hidden="1">
      <c r="A373" s="3911"/>
      <c r="B373" s="3897"/>
      <c r="C373" s="3897"/>
      <c r="D373" s="3898"/>
      <c r="E373" s="3514" t="s">
        <v>3830</v>
      </c>
      <c r="F373" s="3522">
        <v>40.43</v>
      </c>
      <c r="G373" s="3509">
        <v>6.55</v>
      </c>
      <c r="H373" s="3505" t="s">
        <v>3557</v>
      </c>
      <c r="I373" s="3552">
        <f ca="1">典型户型修正车!S259</f>
        <v>10</v>
      </c>
    </row>
    <row r="374" spans="1:9" s="3472" customFormat="1" hidden="1">
      <c r="A374" s="3911"/>
      <c r="B374" s="3897"/>
      <c r="C374" s="3897"/>
      <c r="D374" s="3898"/>
      <c r="E374" s="3514" t="s">
        <v>3831</v>
      </c>
      <c r="F374" s="3522">
        <v>40.43</v>
      </c>
      <c r="G374" s="3509">
        <v>6.55</v>
      </c>
      <c r="H374" s="3505" t="s">
        <v>3557</v>
      </c>
      <c r="I374" s="3552">
        <f ca="1">典型户型修正车!S260</f>
        <v>10</v>
      </c>
    </row>
    <row r="375" spans="1:9" s="3472" customFormat="1" hidden="1">
      <c r="A375" s="3911"/>
      <c r="B375" s="3897"/>
      <c r="C375" s="3897"/>
      <c r="D375" s="3898"/>
      <c r="E375" s="3514" t="s">
        <v>3832</v>
      </c>
      <c r="F375" s="3522">
        <v>40.43</v>
      </c>
      <c r="G375" s="3509">
        <v>6.55</v>
      </c>
      <c r="H375" s="3505" t="s">
        <v>3557</v>
      </c>
      <c r="I375" s="3552">
        <f ca="1">典型户型修正车!S261</f>
        <v>10</v>
      </c>
    </row>
    <row r="376" spans="1:9" s="3472" customFormat="1" hidden="1">
      <c r="A376" s="3911"/>
      <c r="B376" s="3897"/>
      <c r="C376" s="3897"/>
      <c r="D376" s="3898"/>
      <c r="E376" s="3514" t="s">
        <v>3833</v>
      </c>
      <c r="F376" s="3522">
        <v>40.43</v>
      </c>
      <c r="G376" s="3509">
        <v>6.55</v>
      </c>
      <c r="H376" s="3505" t="s">
        <v>3557</v>
      </c>
      <c r="I376" s="3552">
        <f ca="1">典型户型修正车!S262</f>
        <v>10</v>
      </c>
    </row>
    <row r="377" spans="1:9" s="3472" customFormat="1" hidden="1">
      <c r="A377" s="3911"/>
      <c r="B377" s="3897"/>
      <c r="C377" s="3897"/>
      <c r="D377" s="3898"/>
      <c r="E377" s="3514" t="s">
        <v>3834</v>
      </c>
      <c r="F377" s="3522">
        <v>40.43</v>
      </c>
      <c r="G377" s="3509">
        <v>6.55</v>
      </c>
      <c r="H377" s="3505" t="s">
        <v>3557</v>
      </c>
      <c r="I377" s="3552">
        <f ca="1">典型户型修正车!S263</f>
        <v>10</v>
      </c>
    </row>
    <row r="378" spans="1:9" s="3472" customFormat="1" hidden="1">
      <c r="A378" s="3911"/>
      <c r="B378" s="3897"/>
      <c r="C378" s="3897"/>
      <c r="D378" s="3898"/>
      <c r="E378" s="3514" t="s">
        <v>3835</v>
      </c>
      <c r="F378" s="3522">
        <v>40.43</v>
      </c>
      <c r="G378" s="3509">
        <v>6.55</v>
      </c>
      <c r="H378" s="3505" t="s">
        <v>3557</v>
      </c>
      <c r="I378" s="3552">
        <f ca="1">典型户型修正车!S264</f>
        <v>10</v>
      </c>
    </row>
    <row r="379" spans="1:9" s="3472" customFormat="1" hidden="1">
      <c r="A379" s="3911"/>
      <c r="B379" s="3897"/>
      <c r="C379" s="3897"/>
      <c r="D379" s="3898"/>
      <c r="E379" s="3514" t="s">
        <v>3836</v>
      </c>
      <c r="F379" s="3522">
        <v>68.27</v>
      </c>
      <c r="G379" s="3509">
        <v>11.07</v>
      </c>
      <c r="H379" s="3505" t="s">
        <v>3557</v>
      </c>
      <c r="I379" s="3552">
        <f ca="1">典型户型修正车!S265</f>
        <v>16</v>
      </c>
    </row>
    <row r="380" spans="1:9" s="3472" customFormat="1" hidden="1">
      <c r="A380" s="3911"/>
      <c r="B380" s="3897"/>
      <c r="C380" s="3897"/>
      <c r="D380" s="3898"/>
      <c r="E380" s="3514" t="s">
        <v>3837</v>
      </c>
      <c r="F380" s="3522">
        <v>68.27</v>
      </c>
      <c r="G380" s="3509">
        <v>11.07</v>
      </c>
      <c r="H380" s="3505" t="s">
        <v>3557</v>
      </c>
      <c r="I380" s="3552">
        <f ca="1">典型户型修正车!S266</f>
        <v>16</v>
      </c>
    </row>
    <row r="381" spans="1:9" s="3472" customFormat="1" hidden="1">
      <c r="A381" s="3911"/>
      <c r="B381" s="3897"/>
      <c r="C381" s="3897"/>
      <c r="D381" s="3898"/>
      <c r="E381" s="3514" t="s">
        <v>3838</v>
      </c>
      <c r="F381" s="3522">
        <v>40.43</v>
      </c>
      <c r="G381" s="3509">
        <v>6.55</v>
      </c>
      <c r="H381" s="3505" t="s">
        <v>3557</v>
      </c>
      <c r="I381" s="3552">
        <f ca="1">典型户型修正车!S267</f>
        <v>10</v>
      </c>
    </row>
    <row r="382" spans="1:9" s="3472" customFormat="1" hidden="1">
      <c r="A382" s="3911"/>
      <c r="B382" s="3897"/>
      <c r="C382" s="3897"/>
      <c r="D382" s="3898"/>
      <c r="E382" s="3514" t="s">
        <v>3839</v>
      </c>
      <c r="F382" s="3522">
        <v>40.43</v>
      </c>
      <c r="G382" s="3509">
        <v>6.55</v>
      </c>
      <c r="H382" s="3505" t="s">
        <v>3557</v>
      </c>
      <c r="I382" s="3552">
        <f ca="1">典型户型修正车!S268</f>
        <v>10</v>
      </c>
    </row>
    <row r="383" spans="1:9" s="3472" customFormat="1" hidden="1">
      <c r="A383" s="3911"/>
      <c r="B383" s="3897"/>
      <c r="C383" s="3897"/>
      <c r="D383" s="3898"/>
      <c r="E383" s="3514" t="s">
        <v>3840</v>
      </c>
      <c r="F383" s="3522">
        <v>40.43</v>
      </c>
      <c r="G383" s="3509">
        <v>6.55</v>
      </c>
      <c r="H383" s="3505" t="s">
        <v>3557</v>
      </c>
      <c r="I383" s="3552">
        <f ca="1">典型户型修正车!S269</f>
        <v>10</v>
      </c>
    </row>
    <row r="384" spans="1:9" s="3472" customFormat="1" hidden="1">
      <c r="A384" s="3911"/>
      <c r="B384" s="3897"/>
      <c r="C384" s="3897"/>
      <c r="D384" s="3898"/>
      <c r="E384" s="3514" t="s">
        <v>3841</v>
      </c>
      <c r="F384" s="3522">
        <v>40.43</v>
      </c>
      <c r="G384" s="3509">
        <v>6.55</v>
      </c>
      <c r="H384" s="3505" t="s">
        <v>3557</v>
      </c>
      <c r="I384" s="3552">
        <f ca="1">典型户型修正车!S270</f>
        <v>10</v>
      </c>
    </row>
    <row r="385" spans="1:9" s="3472" customFormat="1" hidden="1">
      <c r="A385" s="3911"/>
      <c r="B385" s="3897"/>
      <c r="C385" s="3897"/>
      <c r="D385" s="3898"/>
      <c r="E385" s="3514" t="s">
        <v>3842</v>
      </c>
      <c r="F385" s="3522">
        <v>40.43</v>
      </c>
      <c r="G385" s="3509">
        <v>6.55</v>
      </c>
      <c r="H385" s="3505" t="s">
        <v>3557</v>
      </c>
      <c r="I385" s="3552">
        <f ca="1">典型户型修正车!S271</f>
        <v>10</v>
      </c>
    </row>
    <row r="386" spans="1:9" s="3472" customFormat="1" hidden="1">
      <c r="A386" s="3911"/>
      <c r="B386" s="3897"/>
      <c r="C386" s="3897"/>
      <c r="D386" s="3898"/>
      <c r="E386" s="3514" t="s">
        <v>3843</v>
      </c>
      <c r="F386" s="3522">
        <v>40.43</v>
      </c>
      <c r="G386" s="3509">
        <v>6.55</v>
      </c>
      <c r="H386" s="3505" t="s">
        <v>3557</v>
      </c>
      <c r="I386" s="3552">
        <f ca="1">典型户型修正车!S272</f>
        <v>10</v>
      </c>
    </row>
    <row r="387" spans="1:9" s="3472" customFormat="1" hidden="1">
      <c r="A387" s="3911"/>
      <c r="B387" s="3897"/>
      <c r="C387" s="3897"/>
      <c r="D387" s="3898"/>
      <c r="E387" s="3514" t="s">
        <v>3844</v>
      </c>
      <c r="F387" s="3522">
        <v>40.43</v>
      </c>
      <c r="G387" s="3509">
        <v>6.55</v>
      </c>
      <c r="H387" s="3505" t="s">
        <v>3557</v>
      </c>
      <c r="I387" s="3552">
        <f ca="1">典型户型修正车!S273</f>
        <v>10</v>
      </c>
    </row>
    <row r="388" spans="1:9" s="3472" customFormat="1" hidden="1">
      <c r="A388" s="3911"/>
      <c r="B388" s="3897"/>
      <c r="C388" s="3897"/>
      <c r="D388" s="3898"/>
      <c r="E388" s="3514" t="s">
        <v>3845</v>
      </c>
      <c r="F388" s="3522">
        <v>40.43</v>
      </c>
      <c r="G388" s="3509">
        <v>6.55</v>
      </c>
      <c r="H388" s="3505" t="s">
        <v>3557</v>
      </c>
      <c r="I388" s="3552">
        <f ca="1">典型户型修正车!S274</f>
        <v>10</v>
      </c>
    </row>
    <row r="389" spans="1:9" s="3472" customFormat="1" hidden="1">
      <c r="A389" s="3911"/>
      <c r="B389" s="3897"/>
      <c r="C389" s="3897"/>
      <c r="D389" s="3898"/>
      <c r="E389" s="3514" t="s">
        <v>3846</v>
      </c>
      <c r="F389" s="3522">
        <v>40.43</v>
      </c>
      <c r="G389" s="3509">
        <v>6.55</v>
      </c>
      <c r="H389" s="3505" t="s">
        <v>3557</v>
      </c>
      <c r="I389" s="3552">
        <f ca="1">典型户型修正车!S275</f>
        <v>10</v>
      </c>
    </row>
    <row r="390" spans="1:9" s="3472" customFormat="1" hidden="1">
      <c r="A390" s="3911"/>
      <c r="B390" s="3897"/>
      <c r="C390" s="3897"/>
      <c r="D390" s="3898"/>
      <c r="E390" s="3514" t="s">
        <v>3847</v>
      </c>
      <c r="F390" s="3522">
        <v>40.43</v>
      </c>
      <c r="G390" s="3509">
        <v>6.55</v>
      </c>
      <c r="H390" s="3505" t="s">
        <v>3557</v>
      </c>
      <c r="I390" s="3552">
        <f ca="1">典型户型修正车!S276</f>
        <v>10</v>
      </c>
    </row>
    <row r="391" spans="1:9" s="3472" customFormat="1" hidden="1">
      <c r="A391" s="3911"/>
      <c r="B391" s="3897"/>
      <c r="C391" s="3897"/>
      <c r="D391" s="3898"/>
      <c r="E391" s="3514" t="s">
        <v>3848</v>
      </c>
      <c r="F391" s="3522">
        <v>40.43</v>
      </c>
      <c r="G391" s="3509">
        <v>6.55</v>
      </c>
      <c r="H391" s="3505" t="s">
        <v>3557</v>
      </c>
      <c r="I391" s="3552">
        <f ca="1">典型户型修正车!S277</f>
        <v>10</v>
      </c>
    </row>
    <row r="392" spans="1:9" s="3472" customFormat="1" hidden="1">
      <c r="A392" s="3911"/>
      <c r="B392" s="3897"/>
      <c r="C392" s="3897"/>
      <c r="D392" s="3898"/>
      <c r="E392" s="3514" t="s">
        <v>3849</v>
      </c>
      <c r="F392" s="3522">
        <v>80.86</v>
      </c>
      <c r="G392" s="3509">
        <v>13.12</v>
      </c>
      <c r="H392" s="3505" t="s">
        <v>3557</v>
      </c>
      <c r="I392" s="3552">
        <f ca="1">典型户型修正车!S278</f>
        <v>19</v>
      </c>
    </row>
    <row r="393" spans="1:9" s="3472" customFormat="1" hidden="1">
      <c r="A393" s="3911"/>
      <c r="B393" s="3897"/>
      <c r="C393" s="3897"/>
      <c r="D393" s="3898"/>
      <c r="E393" s="3514" t="s">
        <v>3850</v>
      </c>
      <c r="F393" s="3522">
        <v>80.86</v>
      </c>
      <c r="G393" s="3509">
        <v>13.12</v>
      </c>
      <c r="H393" s="3505" t="s">
        <v>3557</v>
      </c>
      <c r="I393" s="3552">
        <f ca="1">典型户型修正车!S279</f>
        <v>19</v>
      </c>
    </row>
    <row r="394" spans="1:9" s="3472" customFormat="1" hidden="1">
      <c r="A394" s="3911"/>
      <c r="B394" s="3897"/>
      <c r="C394" s="3897"/>
      <c r="D394" s="3898"/>
      <c r="E394" s="3514" t="s">
        <v>3851</v>
      </c>
      <c r="F394" s="3522">
        <v>40.43</v>
      </c>
      <c r="G394" s="3509">
        <v>6.55</v>
      </c>
      <c r="H394" s="3505" t="s">
        <v>3557</v>
      </c>
      <c r="I394" s="3552">
        <f ca="1">典型户型修正车!S280</f>
        <v>10</v>
      </c>
    </row>
    <row r="395" spans="1:9" s="3472" customFormat="1" hidden="1">
      <c r="A395" s="3911"/>
      <c r="B395" s="3897"/>
      <c r="C395" s="3897"/>
      <c r="D395" s="3898"/>
      <c r="E395" s="3514" t="s">
        <v>3852</v>
      </c>
      <c r="F395" s="3522">
        <v>80.86</v>
      </c>
      <c r="G395" s="3509">
        <v>13.12</v>
      </c>
      <c r="H395" s="3505" t="s">
        <v>3557</v>
      </c>
      <c r="I395" s="3552">
        <f ca="1">典型户型修正车!S281</f>
        <v>19</v>
      </c>
    </row>
    <row r="396" spans="1:9" s="3472" customFormat="1" hidden="1">
      <c r="A396" s="3911"/>
      <c r="B396" s="3897"/>
      <c r="C396" s="3897"/>
      <c r="D396" s="3898"/>
      <c r="E396" s="3514" t="s">
        <v>3853</v>
      </c>
      <c r="F396" s="3522">
        <v>80.86</v>
      </c>
      <c r="G396" s="3509">
        <v>13.12</v>
      </c>
      <c r="H396" s="3505" t="s">
        <v>3557</v>
      </c>
      <c r="I396" s="3552">
        <f ca="1">典型户型修正车!S282</f>
        <v>19</v>
      </c>
    </row>
    <row r="397" spans="1:9" s="3472" customFormat="1" hidden="1">
      <c r="A397" s="3911"/>
      <c r="B397" s="3897"/>
      <c r="C397" s="3897"/>
      <c r="D397" s="3898"/>
      <c r="E397" s="3514" t="s">
        <v>3854</v>
      </c>
      <c r="F397" s="3522">
        <v>80.86</v>
      </c>
      <c r="G397" s="3509">
        <v>13.12</v>
      </c>
      <c r="H397" s="3505" t="s">
        <v>3557</v>
      </c>
      <c r="I397" s="3552">
        <f ca="1">典型户型修正车!S283</f>
        <v>19</v>
      </c>
    </row>
    <row r="398" spans="1:9" s="3472" customFormat="1" hidden="1">
      <c r="A398" s="3911"/>
      <c r="B398" s="3897"/>
      <c r="C398" s="3897"/>
      <c r="D398" s="3898"/>
      <c r="E398" s="3514" t="s">
        <v>3855</v>
      </c>
      <c r="F398" s="3522">
        <v>80.86</v>
      </c>
      <c r="G398" s="3509">
        <v>13.12</v>
      </c>
      <c r="H398" s="3505" t="s">
        <v>3557</v>
      </c>
      <c r="I398" s="3552">
        <f ca="1">典型户型修正车!S284</f>
        <v>19</v>
      </c>
    </row>
    <row r="399" spans="1:9" s="3472" customFormat="1" hidden="1">
      <c r="A399" s="3911"/>
      <c r="B399" s="3897"/>
      <c r="C399" s="3897"/>
      <c r="D399" s="3898"/>
      <c r="E399" s="3514" t="s">
        <v>3856</v>
      </c>
      <c r="F399" s="3522">
        <v>40.43</v>
      </c>
      <c r="G399" s="3509">
        <v>6.55</v>
      </c>
      <c r="H399" s="3505" t="s">
        <v>3557</v>
      </c>
      <c r="I399" s="3552">
        <f ca="1">典型户型修正车!S285</f>
        <v>10</v>
      </c>
    </row>
    <row r="400" spans="1:9" s="3472" customFormat="1" hidden="1">
      <c r="A400" s="3911"/>
      <c r="B400" s="3897"/>
      <c r="C400" s="3897"/>
      <c r="D400" s="3898"/>
      <c r="E400" s="3514" t="s">
        <v>3857</v>
      </c>
      <c r="F400" s="3522">
        <v>40.43</v>
      </c>
      <c r="G400" s="3509">
        <v>6.55</v>
      </c>
      <c r="H400" s="3505" t="s">
        <v>3557</v>
      </c>
      <c r="I400" s="3552">
        <f ca="1">典型户型修正车!S286</f>
        <v>10</v>
      </c>
    </row>
    <row r="401" spans="1:9" s="3472" customFormat="1" hidden="1">
      <c r="A401" s="3911"/>
      <c r="B401" s="3897"/>
      <c r="C401" s="3897"/>
      <c r="D401" s="3898"/>
      <c r="E401" s="3514" t="s">
        <v>3858</v>
      </c>
      <c r="F401" s="3522">
        <v>68.27</v>
      </c>
      <c r="G401" s="3509">
        <v>11.07</v>
      </c>
      <c r="H401" s="3505" t="s">
        <v>3557</v>
      </c>
      <c r="I401" s="3552">
        <f ca="1">典型户型修正车!S287</f>
        <v>16</v>
      </c>
    </row>
    <row r="402" spans="1:9" s="3472" customFormat="1" hidden="1">
      <c r="A402" s="3911"/>
      <c r="B402" s="3897"/>
      <c r="C402" s="3897"/>
      <c r="D402" s="3898"/>
      <c r="E402" s="3514" t="s">
        <v>3859</v>
      </c>
      <c r="F402" s="3522">
        <v>40.43</v>
      </c>
      <c r="G402" s="3509">
        <v>6.55</v>
      </c>
      <c r="H402" s="3505" t="s">
        <v>3557</v>
      </c>
      <c r="I402" s="3552">
        <f ca="1">典型户型修正车!S288</f>
        <v>10</v>
      </c>
    </row>
    <row r="403" spans="1:9" s="3472" customFormat="1" hidden="1">
      <c r="A403" s="3911"/>
      <c r="B403" s="3897"/>
      <c r="C403" s="3897"/>
      <c r="D403" s="3898"/>
      <c r="E403" s="3514" t="s">
        <v>3860</v>
      </c>
      <c r="F403" s="3522">
        <v>40.43</v>
      </c>
      <c r="G403" s="3509">
        <v>6.55</v>
      </c>
      <c r="H403" s="3505" t="s">
        <v>3557</v>
      </c>
      <c r="I403" s="3552">
        <f ca="1">典型户型修正车!S289</f>
        <v>10</v>
      </c>
    </row>
    <row r="404" spans="1:9" s="3472" customFormat="1" hidden="1">
      <c r="A404" s="3911"/>
      <c r="B404" s="3897"/>
      <c r="C404" s="3897"/>
      <c r="D404" s="3898"/>
      <c r="E404" s="3514" t="s">
        <v>3861</v>
      </c>
      <c r="F404" s="3522">
        <v>40.43</v>
      </c>
      <c r="G404" s="3509">
        <v>6.55</v>
      </c>
      <c r="H404" s="3505" t="s">
        <v>3557</v>
      </c>
      <c r="I404" s="3552">
        <f ca="1">典型户型修正车!S290</f>
        <v>10</v>
      </c>
    </row>
    <row r="405" spans="1:9" s="3472" customFormat="1" hidden="1">
      <c r="A405" s="3911"/>
      <c r="B405" s="3897"/>
      <c r="C405" s="3897"/>
      <c r="D405" s="3898"/>
      <c r="E405" s="3514" t="s">
        <v>3862</v>
      </c>
      <c r="F405" s="3522">
        <v>40.43</v>
      </c>
      <c r="G405" s="3509">
        <v>6.55</v>
      </c>
      <c r="H405" s="3505" t="s">
        <v>3557</v>
      </c>
      <c r="I405" s="3552">
        <f ca="1">典型户型修正车!S291</f>
        <v>10</v>
      </c>
    </row>
    <row r="406" spans="1:9" s="3472" customFormat="1" hidden="1">
      <c r="A406" s="3911"/>
      <c r="B406" s="3897"/>
      <c r="C406" s="3897"/>
      <c r="D406" s="3898"/>
      <c r="E406" s="3514" t="s">
        <v>3863</v>
      </c>
      <c r="F406" s="3522">
        <v>40.43</v>
      </c>
      <c r="G406" s="3509">
        <v>6.55</v>
      </c>
      <c r="H406" s="3505" t="s">
        <v>3557</v>
      </c>
      <c r="I406" s="3552">
        <f ca="1">典型户型修正车!S292</f>
        <v>10</v>
      </c>
    </row>
    <row r="407" spans="1:9" s="3472" customFormat="1" hidden="1">
      <c r="A407" s="3911"/>
      <c r="B407" s="3897"/>
      <c r="C407" s="3897"/>
      <c r="D407" s="3898"/>
      <c r="E407" s="3514" t="s">
        <v>3864</v>
      </c>
      <c r="F407" s="3522">
        <v>40.43</v>
      </c>
      <c r="G407" s="3509">
        <v>6.55</v>
      </c>
      <c r="H407" s="3505" t="s">
        <v>3557</v>
      </c>
      <c r="I407" s="3552">
        <f ca="1">典型户型修正车!S293</f>
        <v>10</v>
      </c>
    </row>
    <row r="408" spans="1:9" s="3472" customFormat="1" hidden="1">
      <c r="A408" s="3911"/>
      <c r="B408" s="3897"/>
      <c r="C408" s="3897"/>
      <c r="D408" s="3898"/>
      <c r="E408" s="3514" t="s">
        <v>3865</v>
      </c>
      <c r="F408" s="3522">
        <v>80.86</v>
      </c>
      <c r="G408" s="3509">
        <v>13.12</v>
      </c>
      <c r="H408" s="3505" t="s">
        <v>3557</v>
      </c>
      <c r="I408" s="3552">
        <f ca="1">典型户型修正车!S294</f>
        <v>19</v>
      </c>
    </row>
    <row r="409" spans="1:9" s="3472" customFormat="1" hidden="1">
      <c r="A409" s="3911"/>
      <c r="B409" s="3897" t="s">
        <v>3769</v>
      </c>
      <c r="C409" s="3897" t="s">
        <v>3770</v>
      </c>
      <c r="D409" s="3898" t="s">
        <v>3771</v>
      </c>
      <c r="E409" s="3514" t="s">
        <v>3866</v>
      </c>
      <c r="F409" s="3522">
        <v>80.86</v>
      </c>
      <c r="G409" s="3509">
        <v>13.12</v>
      </c>
      <c r="H409" s="3505" t="s">
        <v>3557</v>
      </c>
      <c r="I409" s="3552">
        <f ca="1">典型户型修正车!S295</f>
        <v>19</v>
      </c>
    </row>
    <row r="410" spans="1:9" s="3472" customFormat="1" hidden="1">
      <c r="A410" s="3911"/>
      <c r="B410" s="3897"/>
      <c r="C410" s="3897"/>
      <c r="D410" s="3898"/>
      <c r="E410" s="3514" t="s">
        <v>3867</v>
      </c>
      <c r="F410" s="3522">
        <v>80.86</v>
      </c>
      <c r="G410" s="3509">
        <v>13.12</v>
      </c>
      <c r="H410" s="3505" t="s">
        <v>3557</v>
      </c>
      <c r="I410" s="3552">
        <f ca="1">典型户型修正车!S296</f>
        <v>19</v>
      </c>
    </row>
    <row r="411" spans="1:9" s="3472" customFormat="1" hidden="1">
      <c r="A411" s="3911"/>
      <c r="B411" s="3897"/>
      <c r="C411" s="3897"/>
      <c r="D411" s="3898"/>
      <c r="E411" s="3514" t="s">
        <v>3868</v>
      </c>
      <c r="F411" s="3522">
        <v>40.43</v>
      </c>
      <c r="G411" s="3509">
        <v>6.55</v>
      </c>
      <c r="H411" s="3505" t="s">
        <v>3557</v>
      </c>
      <c r="I411" s="3552">
        <f ca="1">典型户型修正车!S297</f>
        <v>10</v>
      </c>
    </row>
    <row r="412" spans="1:9" s="3472" customFormat="1" hidden="1">
      <c r="A412" s="3911"/>
      <c r="B412" s="3897"/>
      <c r="C412" s="3897"/>
      <c r="D412" s="3898"/>
      <c r="E412" s="3514" t="s">
        <v>3869</v>
      </c>
      <c r="F412" s="3522">
        <v>40.43</v>
      </c>
      <c r="G412" s="3509">
        <v>6.55</v>
      </c>
      <c r="H412" s="3505" t="s">
        <v>3557</v>
      </c>
      <c r="I412" s="3552">
        <f ca="1">典型户型修正车!S298</f>
        <v>10</v>
      </c>
    </row>
    <row r="413" spans="1:9" s="3472" customFormat="1" hidden="1">
      <c r="A413" s="3911"/>
      <c r="B413" s="3897"/>
      <c r="C413" s="3897"/>
      <c r="D413" s="3898"/>
      <c r="E413" s="3514" t="s">
        <v>3870</v>
      </c>
      <c r="F413" s="3522">
        <v>40.43</v>
      </c>
      <c r="G413" s="3509">
        <v>6.55</v>
      </c>
      <c r="H413" s="3505" t="s">
        <v>3557</v>
      </c>
      <c r="I413" s="3552">
        <f ca="1">典型户型修正车!S299</f>
        <v>10</v>
      </c>
    </row>
    <row r="414" spans="1:9" s="3472" customFormat="1" hidden="1">
      <c r="A414" s="3911"/>
      <c r="B414" s="3897"/>
      <c r="C414" s="3897"/>
      <c r="D414" s="3898"/>
      <c r="E414" s="3514" t="s">
        <v>3871</v>
      </c>
      <c r="F414" s="3522">
        <v>40.43</v>
      </c>
      <c r="G414" s="3509">
        <v>6.55</v>
      </c>
      <c r="H414" s="3505" t="s">
        <v>3557</v>
      </c>
      <c r="I414" s="3552">
        <f ca="1">典型户型修正车!S300</f>
        <v>10</v>
      </c>
    </row>
    <row r="415" spans="1:9" s="3472" customFormat="1" hidden="1">
      <c r="A415" s="3911"/>
      <c r="B415" s="3897"/>
      <c r="C415" s="3897"/>
      <c r="D415" s="3898"/>
      <c r="E415" s="3514" t="s">
        <v>3872</v>
      </c>
      <c r="F415" s="3522">
        <v>40.43</v>
      </c>
      <c r="G415" s="3509">
        <v>6.55</v>
      </c>
      <c r="H415" s="3505" t="s">
        <v>3557</v>
      </c>
      <c r="I415" s="3552">
        <f ca="1">典型户型修正车!S301</f>
        <v>10</v>
      </c>
    </row>
    <row r="416" spans="1:9" s="3472" customFormat="1" hidden="1">
      <c r="A416" s="3911"/>
      <c r="B416" s="3897"/>
      <c r="C416" s="3897"/>
      <c r="D416" s="3898"/>
      <c r="E416" s="3514" t="s">
        <v>3873</v>
      </c>
      <c r="F416" s="3522">
        <v>40.43</v>
      </c>
      <c r="G416" s="3509">
        <v>6.55</v>
      </c>
      <c r="H416" s="3505" t="s">
        <v>3557</v>
      </c>
      <c r="I416" s="3552">
        <f ca="1">典型户型修正车!S302</f>
        <v>10</v>
      </c>
    </row>
    <row r="417" spans="1:9" s="3472" customFormat="1" hidden="1">
      <c r="A417" s="3911"/>
      <c r="B417" s="3897"/>
      <c r="C417" s="3897"/>
      <c r="D417" s="3898"/>
      <c r="E417" s="3514" t="s">
        <v>3874</v>
      </c>
      <c r="F417" s="3522">
        <v>40.43</v>
      </c>
      <c r="G417" s="3509">
        <v>6.55</v>
      </c>
      <c r="H417" s="3505" t="s">
        <v>3557</v>
      </c>
      <c r="I417" s="3552">
        <f ca="1">典型户型修正车!S303</f>
        <v>10</v>
      </c>
    </row>
    <row r="418" spans="1:9" s="3472" customFormat="1" hidden="1">
      <c r="A418" s="3911"/>
      <c r="B418" s="3897"/>
      <c r="C418" s="3897"/>
      <c r="D418" s="3898"/>
      <c r="E418" s="3514" t="s">
        <v>3875</v>
      </c>
      <c r="F418" s="3522">
        <v>40.43</v>
      </c>
      <c r="G418" s="3509">
        <v>6.55</v>
      </c>
      <c r="H418" s="3505" t="s">
        <v>3557</v>
      </c>
      <c r="I418" s="3552">
        <f ca="1">典型户型修正车!S304</f>
        <v>10</v>
      </c>
    </row>
    <row r="419" spans="1:9" s="3472" customFormat="1" hidden="1">
      <c r="A419" s="3911"/>
      <c r="B419" s="3897"/>
      <c r="C419" s="3897"/>
      <c r="D419" s="3898"/>
      <c r="E419" s="3514" t="s">
        <v>3876</v>
      </c>
      <c r="F419" s="3522">
        <v>40.43</v>
      </c>
      <c r="G419" s="3509">
        <v>6.55</v>
      </c>
      <c r="H419" s="3505" t="s">
        <v>3557</v>
      </c>
      <c r="I419" s="3552">
        <f ca="1">典型户型修正车!S305</f>
        <v>10</v>
      </c>
    </row>
    <row r="420" spans="1:9" s="3472" customFormat="1" hidden="1">
      <c r="A420" s="3911"/>
      <c r="B420" s="3897"/>
      <c r="C420" s="3897"/>
      <c r="D420" s="3898"/>
      <c r="E420" s="3514" t="s">
        <v>3877</v>
      </c>
      <c r="F420" s="3522">
        <v>40.43</v>
      </c>
      <c r="G420" s="3509">
        <v>6.55</v>
      </c>
      <c r="H420" s="3505" t="s">
        <v>3557</v>
      </c>
      <c r="I420" s="3552">
        <f ca="1">典型户型修正车!S306</f>
        <v>10</v>
      </c>
    </row>
    <row r="421" spans="1:9" s="3472" customFormat="1" hidden="1">
      <c r="A421" s="3911"/>
      <c r="B421" s="3897"/>
      <c r="C421" s="3897"/>
      <c r="D421" s="3898"/>
      <c r="E421" s="3514" t="s">
        <v>3878</v>
      </c>
      <c r="F421" s="3522">
        <v>40.43</v>
      </c>
      <c r="G421" s="3509">
        <v>6.55</v>
      </c>
      <c r="H421" s="3505" t="s">
        <v>3557</v>
      </c>
      <c r="I421" s="3552">
        <f ca="1">典型户型修正车!S307</f>
        <v>10</v>
      </c>
    </row>
    <row r="422" spans="1:9" s="3472" customFormat="1" hidden="1">
      <c r="A422" s="3911"/>
      <c r="B422" s="3897"/>
      <c r="C422" s="3897"/>
      <c r="D422" s="3898"/>
      <c r="E422" s="3514" t="s">
        <v>3879</v>
      </c>
      <c r="F422" s="3522">
        <v>40.43</v>
      </c>
      <c r="G422" s="3509">
        <v>6.55</v>
      </c>
      <c r="H422" s="3505" t="s">
        <v>3557</v>
      </c>
      <c r="I422" s="3552">
        <f ca="1">典型户型修正车!S308</f>
        <v>10</v>
      </c>
    </row>
    <row r="423" spans="1:9" s="3472" customFormat="1" hidden="1">
      <c r="A423" s="3911"/>
      <c r="B423" s="3897"/>
      <c r="C423" s="3897"/>
      <c r="D423" s="3898"/>
      <c r="E423" s="3514" t="s">
        <v>3880</v>
      </c>
      <c r="F423" s="3522">
        <v>40.43</v>
      </c>
      <c r="G423" s="3509">
        <v>6.55</v>
      </c>
      <c r="H423" s="3505" t="s">
        <v>3557</v>
      </c>
      <c r="I423" s="3552">
        <f ca="1">典型户型修正车!S309</f>
        <v>10</v>
      </c>
    </row>
    <row r="424" spans="1:9" s="3472" customFormat="1" hidden="1">
      <c r="A424" s="3911"/>
      <c r="B424" s="3897"/>
      <c r="C424" s="3897"/>
      <c r="D424" s="3898"/>
      <c r="E424" s="3514" t="s">
        <v>3881</v>
      </c>
      <c r="F424" s="3522">
        <v>40.43</v>
      </c>
      <c r="G424" s="3509">
        <v>6.55</v>
      </c>
      <c r="H424" s="3505" t="s">
        <v>3557</v>
      </c>
      <c r="I424" s="3552">
        <f ca="1">典型户型修正车!S310</f>
        <v>10</v>
      </c>
    </row>
    <row r="425" spans="1:9" s="3472" customFormat="1" hidden="1">
      <c r="A425" s="3911"/>
      <c r="B425" s="3897"/>
      <c r="C425" s="3897"/>
      <c r="D425" s="3898"/>
      <c r="E425" s="3514" t="s">
        <v>3882</v>
      </c>
      <c r="F425" s="3522">
        <v>40.43</v>
      </c>
      <c r="G425" s="3509">
        <v>6.55</v>
      </c>
      <c r="H425" s="3505" t="s">
        <v>3557</v>
      </c>
      <c r="I425" s="3552">
        <f ca="1">典型户型修正车!S311</f>
        <v>10</v>
      </c>
    </row>
    <row r="426" spans="1:9" s="3472" customFormat="1" hidden="1">
      <c r="A426" s="3911"/>
      <c r="B426" s="3897"/>
      <c r="C426" s="3897"/>
      <c r="D426" s="3898"/>
      <c r="E426" s="3514" t="s">
        <v>3883</v>
      </c>
      <c r="F426" s="3522">
        <v>40.43</v>
      </c>
      <c r="G426" s="3509">
        <v>6.55</v>
      </c>
      <c r="H426" s="3505" t="s">
        <v>3557</v>
      </c>
      <c r="I426" s="3552">
        <f ca="1">典型户型修正车!S312</f>
        <v>10</v>
      </c>
    </row>
    <row r="427" spans="1:9" s="3472" customFormat="1" hidden="1">
      <c r="A427" s="3911"/>
      <c r="B427" s="3897"/>
      <c r="C427" s="3897"/>
      <c r="D427" s="3898"/>
      <c r="E427" s="3514" t="s">
        <v>3884</v>
      </c>
      <c r="F427" s="3522">
        <v>40.43</v>
      </c>
      <c r="G427" s="3509">
        <v>6.55</v>
      </c>
      <c r="H427" s="3505" t="s">
        <v>3557</v>
      </c>
      <c r="I427" s="3552">
        <f ca="1">典型户型修正车!S313</f>
        <v>10</v>
      </c>
    </row>
    <row r="428" spans="1:9" s="3472" customFormat="1" hidden="1">
      <c r="A428" s="3911"/>
      <c r="B428" s="3897"/>
      <c r="C428" s="3897"/>
      <c r="D428" s="3898"/>
      <c r="E428" s="3514" t="s">
        <v>3885</v>
      </c>
      <c r="F428" s="3522">
        <v>40.43</v>
      </c>
      <c r="G428" s="3509">
        <v>6.55</v>
      </c>
      <c r="H428" s="3505" t="s">
        <v>3557</v>
      </c>
      <c r="I428" s="3552">
        <f ca="1">典型户型修正车!S314</f>
        <v>10</v>
      </c>
    </row>
    <row r="429" spans="1:9" s="3472" customFormat="1" hidden="1">
      <c r="A429" s="3911"/>
      <c r="B429" s="3897"/>
      <c r="C429" s="3897"/>
      <c r="D429" s="3898"/>
      <c r="E429" s="3514" t="s">
        <v>3886</v>
      </c>
      <c r="F429" s="3522">
        <v>40.43</v>
      </c>
      <c r="G429" s="3509">
        <v>6.55</v>
      </c>
      <c r="H429" s="3505" t="s">
        <v>3557</v>
      </c>
      <c r="I429" s="3552">
        <f ca="1">典型户型修正车!S315</f>
        <v>10</v>
      </c>
    </row>
    <row r="430" spans="1:9" s="3472" customFormat="1" hidden="1">
      <c r="A430" s="3911"/>
      <c r="B430" s="3897"/>
      <c r="C430" s="3897"/>
      <c r="D430" s="3898"/>
      <c r="E430" s="3514" t="s">
        <v>3887</v>
      </c>
      <c r="F430" s="3522">
        <v>40.43</v>
      </c>
      <c r="G430" s="3509">
        <v>6.55</v>
      </c>
      <c r="H430" s="3505" t="s">
        <v>3557</v>
      </c>
      <c r="I430" s="3552">
        <f ca="1">典型户型修正车!S316</f>
        <v>10</v>
      </c>
    </row>
    <row r="431" spans="1:9" s="3472" customFormat="1" hidden="1">
      <c r="A431" s="3911"/>
      <c r="B431" s="3897"/>
      <c r="C431" s="3897"/>
      <c r="D431" s="3898"/>
      <c r="E431" s="3514" t="s">
        <v>3888</v>
      </c>
      <c r="F431" s="3522">
        <v>40.43</v>
      </c>
      <c r="G431" s="3509">
        <v>6.55</v>
      </c>
      <c r="H431" s="3505" t="s">
        <v>3557</v>
      </c>
      <c r="I431" s="3552">
        <f ca="1">典型户型修正车!S317</f>
        <v>10</v>
      </c>
    </row>
    <row r="432" spans="1:9" s="3472" customFormat="1" hidden="1">
      <c r="A432" s="3911"/>
      <c r="B432" s="3897"/>
      <c r="C432" s="3897"/>
      <c r="D432" s="3898"/>
      <c r="E432" s="3514" t="s">
        <v>3889</v>
      </c>
      <c r="F432" s="3522">
        <v>40.43</v>
      </c>
      <c r="G432" s="3509">
        <v>6.55</v>
      </c>
      <c r="H432" s="3505" t="s">
        <v>3557</v>
      </c>
      <c r="I432" s="3552">
        <f ca="1">典型户型修正车!S318</f>
        <v>10</v>
      </c>
    </row>
    <row r="433" spans="1:9" s="3472" customFormat="1" hidden="1">
      <c r="A433" s="3911"/>
      <c r="B433" s="3897"/>
      <c r="C433" s="3897"/>
      <c r="D433" s="3898"/>
      <c r="E433" s="3514" t="s">
        <v>3890</v>
      </c>
      <c r="F433" s="3522">
        <v>40.43</v>
      </c>
      <c r="G433" s="3509">
        <v>6.55</v>
      </c>
      <c r="H433" s="3505" t="s">
        <v>3557</v>
      </c>
      <c r="I433" s="3552">
        <f ca="1">典型户型修正车!S319</f>
        <v>10</v>
      </c>
    </row>
    <row r="434" spans="1:9" s="3472" customFormat="1" hidden="1">
      <c r="A434" s="3911"/>
      <c r="B434" s="3897"/>
      <c r="C434" s="3897"/>
      <c r="D434" s="3898"/>
      <c r="E434" s="3514" t="s">
        <v>3891</v>
      </c>
      <c r="F434" s="3522">
        <v>40.43</v>
      </c>
      <c r="G434" s="3509">
        <v>6.55</v>
      </c>
      <c r="H434" s="3505" t="s">
        <v>3557</v>
      </c>
      <c r="I434" s="3552">
        <f ca="1">典型户型修正车!S320</f>
        <v>10</v>
      </c>
    </row>
    <row r="435" spans="1:9" s="3472" customFormat="1" hidden="1">
      <c r="A435" s="3911"/>
      <c r="B435" s="3897"/>
      <c r="C435" s="3897"/>
      <c r="D435" s="3898"/>
      <c r="E435" s="3514" t="s">
        <v>3892</v>
      </c>
      <c r="F435" s="3522">
        <v>40.43</v>
      </c>
      <c r="G435" s="3509">
        <v>6.55</v>
      </c>
      <c r="H435" s="3505" t="s">
        <v>3557</v>
      </c>
      <c r="I435" s="3552">
        <f ca="1">典型户型修正车!S321</f>
        <v>10</v>
      </c>
    </row>
    <row r="436" spans="1:9" s="3472" customFormat="1" hidden="1">
      <c r="A436" s="3911"/>
      <c r="B436" s="3897"/>
      <c r="C436" s="3897"/>
      <c r="D436" s="3898"/>
      <c r="E436" s="3514" t="s">
        <v>3893</v>
      </c>
      <c r="F436" s="3522">
        <v>40.43</v>
      </c>
      <c r="G436" s="3509">
        <v>6.55</v>
      </c>
      <c r="H436" s="3505" t="s">
        <v>3557</v>
      </c>
      <c r="I436" s="3552">
        <f ca="1">典型户型修正车!S322</f>
        <v>10</v>
      </c>
    </row>
    <row r="437" spans="1:9" s="3472" customFormat="1" hidden="1">
      <c r="A437" s="3911"/>
      <c r="B437" s="3897"/>
      <c r="C437" s="3897"/>
      <c r="D437" s="3898"/>
      <c r="E437" s="3514" t="s">
        <v>3894</v>
      </c>
      <c r="F437" s="3522">
        <v>40.43</v>
      </c>
      <c r="G437" s="3509">
        <v>6.55</v>
      </c>
      <c r="H437" s="3505" t="s">
        <v>3557</v>
      </c>
      <c r="I437" s="3552">
        <f ca="1">典型户型修正车!S323</f>
        <v>10</v>
      </c>
    </row>
    <row r="438" spans="1:9" s="3472" customFormat="1" hidden="1">
      <c r="A438" s="3911"/>
      <c r="B438" s="3897"/>
      <c r="C438" s="3897"/>
      <c r="D438" s="3898"/>
      <c r="E438" s="3514" t="s">
        <v>3895</v>
      </c>
      <c r="F438" s="3522">
        <v>40.43</v>
      </c>
      <c r="G438" s="3509">
        <v>6.55</v>
      </c>
      <c r="H438" s="3505" t="s">
        <v>3557</v>
      </c>
      <c r="I438" s="3552">
        <f ca="1">典型户型修正车!S324</f>
        <v>10</v>
      </c>
    </row>
    <row r="439" spans="1:9" s="3472" customFormat="1" hidden="1">
      <c r="A439" s="3911"/>
      <c r="B439" s="3897"/>
      <c r="C439" s="3897"/>
      <c r="D439" s="3898"/>
      <c r="E439" s="3514" t="s">
        <v>3896</v>
      </c>
      <c r="F439" s="3522">
        <v>40.43</v>
      </c>
      <c r="G439" s="3509">
        <v>6.55</v>
      </c>
      <c r="H439" s="3505" t="s">
        <v>3557</v>
      </c>
      <c r="I439" s="3552">
        <f ca="1">典型户型修正车!S325</f>
        <v>10</v>
      </c>
    </row>
    <row r="440" spans="1:9" s="3472" customFormat="1" hidden="1">
      <c r="A440" s="3911"/>
      <c r="B440" s="3897"/>
      <c r="C440" s="3897"/>
      <c r="D440" s="3898"/>
      <c r="E440" s="3514" t="s">
        <v>3897</v>
      </c>
      <c r="F440" s="3522">
        <v>40.43</v>
      </c>
      <c r="G440" s="3509">
        <v>6.55</v>
      </c>
      <c r="H440" s="3505" t="s">
        <v>3557</v>
      </c>
      <c r="I440" s="3552">
        <f ca="1">典型户型修正车!S326</f>
        <v>10</v>
      </c>
    </row>
    <row r="441" spans="1:9" s="3472" customFormat="1" hidden="1">
      <c r="A441" s="3911"/>
      <c r="B441" s="3897"/>
      <c r="C441" s="3897"/>
      <c r="D441" s="3898"/>
      <c r="E441" s="3514" t="s">
        <v>3898</v>
      </c>
      <c r="F441" s="3522">
        <v>40.43</v>
      </c>
      <c r="G441" s="3509">
        <v>6.55</v>
      </c>
      <c r="H441" s="3505" t="s">
        <v>3557</v>
      </c>
      <c r="I441" s="3552">
        <f ca="1">典型户型修正车!S327</f>
        <v>10</v>
      </c>
    </row>
    <row r="442" spans="1:9" s="3472" customFormat="1" hidden="1">
      <c r="A442" s="3911"/>
      <c r="B442" s="3897"/>
      <c r="C442" s="3897"/>
      <c r="D442" s="3898"/>
      <c r="E442" s="3514" t="s">
        <v>3899</v>
      </c>
      <c r="F442" s="3522">
        <v>40.43</v>
      </c>
      <c r="G442" s="3509">
        <v>6.56</v>
      </c>
      <c r="H442" s="3505" t="s">
        <v>3557</v>
      </c>
      <c r="I442" s="3552">
        <f ca="1">典型户型修正车!S328</f>
        <v>10</v>
      </c>
    </row>
    <row r="443" spans="1:9" s="3472" customFormat="1" hidden="1">
      <c r="A443" s="3911"/>
      <c r="B443" s="3897"/>
      <c r="C443" s="3897"/>
      <c r="D443" s="3898"/>
      <c r="E443" s="3514" t="s">
        <v>3900</v>
      </c>
      <c r="F443" s="3522">
        <v>40.43</v>
      </c>
      <c r="G443" s="3509">
        <v>6.56</v>
      </c>
      <c r="H443" s="3505" t="s">
        <v>3557</v>
      </c>
      <c r="I443" s="3552">
        <f ca="1">典型户型修正车!S329</f>
        <v>10</v>
      </c>
    </row>
    <row r="444" spans="1:9" s="3472" customFormat="1" hidden="1">
      <c r="A444" s="3911"/>
      <c r="B444" s="3897"/>
      <c r="C444" s="3897"/>
      <c r="D444" s="3898"/>
      <c r="E444" s="3514" t="s">
        <v>3901</v>
      </c>
      <c r="F444" s="3522">
        <v>40.43</v>
      </c>
      <c r="G444" s="3509">
        <v>6.56</v>
      </c>
      <c r="H444" s="3505" t="s">
        <v>3557</v>
      </c>
      <c r="I444" s="3552">
        <f ca="1">典型户型修正车!S330</f>
        <v>10</v>
      </c>
    </row>
    <row r="445" spans="1:9" s="3472" customFormat="1" hidden="1">
      <c r="A445" s="3911"/>
      <c r="B445" s="3897"/>
      <c r="C445" s="3897"/>
      <c r="D445" s="3898"/>
      <c r="E445" s="3514" t="s">
        <v>3902</v>
      </c>
      <c r="F445" s="3522">
        <v>40.43</v>
      </c>
      <c r="G445" s="3509">
        <v>6.56</v>
      </c>
      <c r="H445" s="3505" t="s">
        <v>3557</v>
      </c>
      <c r="I445" s="3552">
        <f ca="1">典型户型修正车!S331</f>
        <v>10</v>
      </c>
    </row>
    <row r="446" spans="1:9" s="3472" customFormat="1" hidden="1">
      <c r="A446" s="3911"/>
      <c r="B446" s="3897" t="s">
        <v>3769</v>
      </c>
      <c r="C446" s="3897" t="s">
        <v>3770</v>
      </c>
      <c r="D446" s="3898" t="s">
        <v>3771</v>
      </c>
      <c r="E446" s="3514" t="s">
        <v>3903</v>
      </c>
      <c r="F446" s="3522">
        <v>40.43</v>
      </c>
      <c r="G446" s="3509">
        <v>6.56</v>
      </c>
      <c r="H446" s="3505" t="s">
        <v>3557</v>
      </c>
      <c r="I446" s="3552">
        <f ca="1">典型户型修正车!S332</f>
        <v>10</v>
      </c>
    </row>
    <row r="447" spans="1:9" s="3472" customFormat="1" hidden="1">
      <c r="A447" s="3911"/>
      <c r="B447" s="3897"/>
      <c r="C447" s="3897"/>
      <c r="D447" s="3898"/>
      <c r="E447" s="3514" t="s">
        <v>3904</v>
      </c>
      <c r="F447" s="3522">
        <v>80.86</v>
      </c>
      <c r="G447" s="3509">
        <v>13.12</v>
      </c>
      <c r="H447" s="3505" t="s">
        <v>3557</v>
      </c>
      <c r="I447" s="3552">
        <f ca="1">典型户型修正车!S333</f>
        <v>19</v>
      </c>
    </row>
    <row r="448" spans="1:9" s="3472" customFormat="1" hidden="1">
      <c r="A448" s="3911"/>
      <c r="B448" s="3897"/>
      <c r="C448" s="3897"/>
      <c r="D448" s="3898"/>
      <c r="E448" s="3514" t="s">
        <v>3905</v>
      </c>
      <c r="F448" s="3522">
        <v>80.86</v>
      </c>
      <c r="G448" s="3509">
        <v>13.12</v>
      </c>
      <c r="H448" s="3505" t="s">
        <v>3557</v>
      </c>
      <c r="I448" s="3552">
        <f ca="1">典型户型修正车!S334</f>
        <v>19</v>
      </c>
    </row>
    <row r="449" spans="1:9" s="3472" customFormat="1" hidden="1">
      <c r="A449" s="3911"/>
      <c r="B449" s="3897"/>
      <c r="C449" s="3897"/>
      <c r="D449" s="3898"/>
      <c r="E449" s="3514" t="s">
        <v>3651</v>
      </c>
      <c r="F449" s="3522">
        <v>40.43</v>
      </c>
      <c r="G449" s="3509">
        <v>6.56</v>
      </c>
      <c r="H449" s="3505" t="s">
        <v>3557</v>
      </c>
      <c r="I449" s="3552">
        <f ca="1">典型户型修正车!S335</f>
        <v>9</v>
      </c>
    </row>
    <row r="450" spans="1:9" s="3472" customFormat="1" hidden="1">
      <c r="A450" s="3911"/>
      <c r="B450" s="3897"/>
      <c r="C450" s="3897"/>
      <c r="D450" s="3898"/>
      <c r="E450" s="3514" t="s">
        <v>3652</v>
      </c>
      <c r="F450" s="3522">
        <v>40.43</v>
      </c>
      <c r="G450" s="3509">
        <v>6.56</v>
      </c>
      <c r="H450" s="3505" t="s">
        <v>3557</v>
      </c>
      <c r="I450" s="3552">
        <f ca="1">典型户型修正车!S336</f>
        <v>9</v>
      </c>
    </row>
    <row r="451" spans="1:9" s="3472" customFormat="1" hidden="1">
      <c r="A451" s="3911"/>
      <c r="B451" s="3897"/>
      <c r="C451" s="3897"/>
      <c r="D451" s="3898"/>
      <c r="E451" s="3514" t="s">
        <v>3653</v>
      </c>
      <c r="F451" s="3522">
        <v>40.43</v>
      </c>
      <c r="G451" s="3509">
        <v>6.56</v>
      </c>
      <c r="H451" s="3505" t="s">
        <v>3557</v>
      </c>
      <c r="I451" s="3552">
        <f ca="1">典型户型修正车!S337</f>
        <v>9</v>
      </c>
    </row>
    <row r="452" spans="1:9" s="3472" customFormat="1" hidden="1">
      <c r="A452" s="3911"/>
      <c r="B452" s="3897"/>
      <c r="C452" s="3897"/>
      <c r="D452" s="3898"/>
      <c r="E452" s="3514" t="s">
        <v>3654</v>
      </c>
      <c r="F452" s="3522">
        <v>40.43</v>
      </c>
      <c r="G452" s="3509">
        <v>6.56</v>
      </c>
      <c r="H452" s="3505" t="s">
        <v>3557</v>
      </c>
      <c r="I452" s="3552">
        <f ca="1">典型户型修正车!S338</f>
        <v>9</v>
      </c>
    </row>
    <row r="453" spans="1:9" s="3472" customFormat="1" hidden="1">
      <c r="A453" s="3911"/>
      <c r="B453" s="3897"/>
      <c r="C453" s="3897"/>
      <c r="D453" s="3898"/>
      <c r="E453" s="3514" t="s">
        <v>3655</v>
      </c>
      <c r="F453" s="3522">
        <v>40.43</v>
      </c>
      <c r="G453" s="3509">
        <v>6.56</v>
      </c>
      <c r="H453" s="3505" t="s">
        <v>3557</v>
      </c>
      <c r="I453" s="3552">
        <f ca="1">典型户型修正车!S339</f>
        <v>9</v>
      </c>
    </row>
    <row r="454" spans="1:9" s="3472" customFormat="1" hidden="1">
      <c r="A454" s="3911"/>
      <c r="B454" s="3897"/>
      <c r="C454" s="3897"/>
      <c r="D454" s="3898"/>
      <c r="E454" s="3514" t="s">
        <v>3656</v>
      </c>
      <c r="F454" s="3522">
        <v>40.43</v>
      </c>
      <c r="G454" s="3509">
        <v>6.56</v>
      </c>
      <c r="H454" s="3505" t="s">
        <v>3557</v>
      </c>
      <c r="I454" s="3552">
        <f ca="1">典型户型修正车!S340</f>
        <v>9</v>
      </c>
    </row>
    <row r="455" spans="1:9" s="3472" customFormat="1" hidden="1">
      <c r="A455" s="3911"/>
      <c r="B455" s="3897"/>
      <c r="C455" s="3897"/>
      <c r="D455" s="3898"/>
      <c r="E455" s="3514" t="s">
        <v>3658</v>
      </c>
      <c r="F455" s="3522">
        <v>40.43</v>
      </c>
      <c r="G455" s="3509">
        <v>6.56</v>
      </c>
      <c r="H455" s="3505" t="s">
        <v>3557</v>
      </c>
      <c r="I455" s="3552">
        <f ca="1">典型户型修正车!S341</f>
        <v>9</v>
      </c>
    </row>
    <row r="456" spans="1:9" s="3472" customFormat="1" hidden="1">
      <c r="A456" s="3911"/>
      <c r="B456" s="3897"/>
      <c r="C456" s="3897"/>
      <c r="D456" s="3898"/>
      <c r="E456" s="3514" t="s">
        <v>3660</v>
      </c>
      <c r="F456" s="3522">
        <v>40.43</v>
      </c>
      <c r="G456" s="3509">
        <v>6.56</v>
      </c>
      <c r="H456" s="3505" t="s">
        <v>3557</v>
      </c>
      <c r="I456" s="3552">
        <f ca="1">典型户型修正车!S342</f>
        <v>9</v>
      </c>
    </row>
    <row r="457" spans="1:9" s="3472" customFormat="1" hidden="1">
      <c r="A457" s="3911"/>
      <c r="B457" s="3897"/>
      <c r="C457" s="3897"/>
      <c r="D457" s="3898"/>
      <c r="E457" s="3514" t="s">
        <v>3662</v>
      </c>
      <c r="F457" s="3522">
        <v>40.43</v>
      </c>
      <c r="G457" s="3509">
        <v>6.56</v>
      </c>
      <c r="H457" s="3505" t="s">
        <v>3557</v>
      </c>
      <c r="I457" s="3552">
        <f ca="1">典型户型修正车!S343</f>
        <v>9</v>
      </c>
    </row>
    <row r="458" spans="1:9" s="3472" customFormat="1" hidden="1">
      <c r="A458" s="3911"/>
      <c r="B458" s="3897"/>
      <c r="C458" s="3897"/>
      <c r="D458" s="3898"/>
      <c r="E458" s="3514" t="s">
        <v>3665</v>
      </c>
      <c r="F458" s="3522">
        <v>40.43</v>
      </c>
      <c r="G458" s="3509">
        <v>6.56</v>
      </c>
      <c r="H458" s="3505" t="s">
        <v>3557</v>
      </c>
      <c r="I458" s="3552">
        <f ca="1">典型户型修正车!S344</f>
        <v>9</v>
      </c>
    </row>
    <row r="459" spans="1:9" s="3472" customFormat="1" hidden="1">
      <c r="A459" s="3911"/>
      <c r="B459" s="3897"/>
      <c r="C459" s="3897"/>
      <c r="D459" s="3898"/>
      <c r="E459" s="3514" t="s">
        <v>3666</v>
      </c>
      <c r="F459" s="3522">
        <v>40.43</v>
      </c>
      <c r="G459" s="3509">
        <v>6.56</v>
      </c>
      <c r="H459" s="3505" t="s">
        <v>3557</v>
      </c>
      <c r="I459" s="3552">
        <f ca="1">典型户型修正车!S345</f>
        <v>9</v>
      </c>
    </row>
    <row r="460" spans="1:9" s="3472" customFormat="1" hidden="1">
      <c r="A460" s="3911"/>
      <c r="B460" s="3897"/>
      <c r="C460" s="3897"/>
      <c r="D460" s="3898"/>
      <c r="E460" s="3514" t="s">
        <v>3667</v>
      </c>
      <c r="F460" s="3522">
        <v>40.43</v>
      </c>
      <c r="G460" s="3509">
        <v>6.56</v>
      </c>
      <c r="H460" s="3505" t="s">
        <v>3557</v>
      </c>
      <c r="I460" s="3552">
        <f ca="1">典型户型修正车!S346</f>
        <v>9</v>
      </c>
    </row>
    <row r="461" spans="1:9" s="3472" customFormat="1" hidden="1">
      <c r="A461" s="3911"/>
      <c r="B461" s="3897"/>
      <c r="C461" s="3897"/>
      <c r="D461" s="3898"/>
      <c r="E461" s="3514" t="s">
        <v>3670</v>
      </c>
      <c r="F461" s="3522">
        <v>40.43</v>
      </c>
      <c r="G461" s="3509">
        <v>6.56</v>
      </c>
      <c r="H461" s="3505" t="s">
        <v>3557</v>
      </c>
      <c r="I461" s="3552">
        <f ca="1">典型户型修正车!S347</f>
        <v>9</v>
      </c>
    </row>
    <row r="462" spans="1:9" s="3472" customFormat="1" hidden="1">
      <c r="A462" s="3911"/>
      <c r="B462" s="3897"/>
      <c r="C462" s="3897"/>
      <c r="D462" s="3898"/>
      <c r="E462" s="3514" t="s">
        <v>3681</v>
      </c>
      <c r="F462" s="3522">
        <v>40.43</v>
      </c>
      <c r="G462" s="3509">
        <v>6.56</v>
      </c>
      <c r="H462" s="3505" t="s">
        <v>3557</v>
      </c>
      <c r="I462" s="3552">
        <f ca="1">典型户型修正车!S348</f>
        <v>9</v>
      </c>
    </row>
    <row r="463" spans="1:9" s="3472" customFormat="1" hidden="1">
      <c r="A463" s="3911"/>
      <c r="B463" s="3897"/>
      <c r="C463" s="3897"/>
      <c r="D463" s="3898"/>
      <c r="E463" s="3514" t="s">
        <v>3682</v>
      </c>
      <c r="F463" s="3522">
        <v>40.43</v>
      </c>
      <c r="G463" s="3509">
        <v>6.56</v>
      </c>
      <c r="H463" s="3505" t="s">
        <v>3557</v>
      </c>
      <c r="I463" s="3552">
        <f ca="1">典型户型修正车!S349</f>
        <v>9</v>
      </c>
    </row>
    <row r="464" spans="1:9" s="3472" customFormat="1" hidden="1">
      <c r="A464" s="3911"/>
      <c r="B464" s="3897"/>
      <c r="C464" s="3897"/>
      <c r="D464" s="3898"/>
      <c r="E464" s="3514" t="s">
        <v>3683</v>
      </c>
      <c r="F464" s="3522">
        <v>40.43</v>
      </c>
      <c r="G464" s="3509">
        <v>6.56</v>
      </c>
      <c r="H464" s="3505" t="s">
        <v>3557</v>
      </c>
      <c r="I464" s="3552">
        <f ca="1">典型户型修正车!S350</f>
        <v>9</v>
      </c>
    </row>
    <row r="465" spans="1:9" s="3472" customFormat="1" hidden="1">
      <c r="A465" s="3911"/>
      <c r="B465" s="3897"/>
      <c r="C465" s="3897"/>
      <c r="D465" s="3898"/>
      <c r="E465" s="3514" t="s">
        <v>3684</v>
      </c>
      <c r="F465" s="3522">
        <v>40.43</v>
      </c>
      <c r="G465" s="3509">
        <v>6.56</v>
      </c>
      <c r="H465" s="3505" t="s">
        <v>3557</v>
      </c>
      <c r="I465" s="3552">
        <f ca="1">典型户型修正车!S351</f>
        <v>9</v>
      </c>
    </row>
    <row r="466" spans="1:9" s="3472" customFormat="1" hidden="1">
      <c r="A466" s="3911"/>
      <c r="B466" s="3897"/>
      <c r="C466" s="3897"/>
      <c r="D466" s="3898"/>
      <c r="E466" s="3514" t="s">
        <v>3685</v>
      </c>
      <c r="F466" s="3522">
        <v>40.43</v>
      </c>
      <c r="G466" s="3509">
        <v>6.56</v>
      </c>
      <c r="H466" s="3505" t="s">
        <v>3557</v>
      </c>
      <c r="I466" s="3552">
        <f ca="1">典型户型修正车!S352</f>
        <v>9</v>
      </c>
    </row>
    <row r="467" spans="1:9" s="3472" customFormat="1" hidden="1">
      <c r="A467" s="3911"/>
      <c r="B467" s="3897"/>
      <c r="C467" s="3897"/>
      <c r="D467" s="3898"/>
      <c r="E467" s="3514" t="s">
        <v>3686</v>
      </c>
      <c r="F467" s="3522">
        <v>40.43</v>
      </c>
      <c r="G467" s="3509">
        <v>6.56</v>
      </c>
      <c r="H467" s="3505" t="s">
        <v>3557</v>
      </c>
      <c r="I467" s="3552">
        <f ca="1">典型户型修正车!S353</f>
        <v>9</v>
      </c>
    </row>
    <row r="468" spans="1:9" s="3472" customFormat="1" hidden="1">
      <c r="A468" s="3911"/>
      <c r="B468" s="3897"/>
      <c r="C468" s="3897"/>
      <c r="D468" s="3898"/>
      <c r="E468" s="3514" t="s">
        <v>3687</v>
      </c>
      <c r="F468" s="3522">
        <v>40.43</v>
      </c>
      <c r="G468" s="3509">
        <v>6.56</v>
      </c>
      <c r="H468" s="3505" t="s">
        <v>3557</v>
      </c>
      <c r="I468" s="3552">
        <f ca="1">典型户型修正车!S354</f>
        <v>9</v>
      </c>
    </row>
    <row r="469" spans="1:9" s="3472" customFormat="1" hidden="1">
      <c r="A469" s="3911"/>
      <c r="B469" s="3897"/>
      <c r="C469" s="3897"/>
      <c r="D469" s="3898"/>
      <c r="E469" s="3514" t="s">
        <v>3693</v>
      </c>
      <c r="F469" s="3522">
        <v>40.43</v>
      </c>
      <c r="G469" s="3509">
        <v>6.56</v>
      </c>
      <c r="H469" s="3505" t="s">
        <v>3557</v>
      </c>
      <c r="I469" s="3552">
        <f ca="1">典型户型修正车!S355</f>
        <v>9</v>
      </c>
    </row>
    <row r="470" spans="1:9" s="3472" customFormat="1" hidden="1">
      <c r="A470" s="3911"/>
      <c r="B470" s="3897"/>
      <c r="C470" s="3897"/>
      <c r="D470" s="3898"/>
      <c r="E470" s="3514" t="s">
        <v>3694</v>
      </c>
      <c r="F470" s="3522">
        <v>40.43</v>
      </c>
      <c r="G470" s="3509">
        <v>6.56</v>
      </c>
      <c r="H470" s="3505" t="s">
        <v>3557</v>
      </c>
      <c r="I470" s="3552">
        <f ca="1">典型户型修正车!S356</f>
        <v>9</v>
      </c>
    </row>
    <row r="471" spans="1:9" s="3472" customFormat="1" hidden="1">
      <c r="A471" s="3911"/>
      <c r="B471" s="3897"/>
      <c r="C471" s="3897"/>
      <c r="D471" s="3898"/>
      <c r="E471" s="3514" t="s">
        <v>3906</v>
      </c>
      <c r="F471" s="3522">
        <v>40.43</v>
      </c>
      <c r="G471" s="3509">
        <v>6.56</v>
      </c>
      <c r="H471" s="3505" t="s">
        <v>3557</v>
      </c>
      <c r="I471" s="3552">
        <f ca="1">典型户型修正车!S357</f>
        <v>9</v>
      </c>
    </row>
    <row r="472" spans="1:9" s="3472" customFormat="1" hidden="1">
      <c r="A472" s="3911"/>
      <c r="B472" s="3897"/>
      <c r="C472" s="3897"/>
      <c r="D472" s="3898"/>
      <c r="E472" s="3514" t="s">
        <v>3695</v>
      </c>
      <c r="F472" s="3522">
        <v>40.43</v>
      </c>
      <c r="G472" s="3509">
        <v>6.56</v>
      </c>
      <c r="H472" s="3505" t="s">
        <v>3557</v>
      </c>
      <c r="I472" s="3552">
        <f ca="1">典型户型修正车!S358</f>
        <v>9</v>
      </c>
    </row>
    <row r="473" spans="1:9" s="3472" customFormat="1" hidden="1">
      <c r="A473" s="3911"/>
      <c r="B473" s="3897"/>
      <c r="C473" s="3897"/>
      <c r="D473" s="3898"/>
      <c r="E473" s="3514" t="s">
        <v>3907</v>
      </c>
      <c r="F473" s="3522">
        <v>40.43</v>
      </c>
      <c r="G473" s="3509">
        <v>6.56</v>
      </c>
      <c r="H473" s="3505" t="s">
        <v>3557</v>
      </c>
      <c r="I473" s="3552">
        <f ca="1">典型户型修正车!S359</f>
        <v>9</v>
      </c>
    </row>
    <row r="474" spans="1:9" s="3472" customFormat="1" hidden="1">
      <c r="A474" s="3911"/>
      <c r="B474" s="3897"/>
      <c r="C474" s="3897"/>
      <c r="D474" s="3898"/>
      <c r="E474" s="3514" t="s">
        <v>3908</v>
      </c>
      <c r="F474" s="3522">
        <v>80.86</v>
      </c>
      <c r="G474" s="3509">
        <v>13.12</v>
      </c>
      <c r="H474" s="3505" t="s">
        <v>3557</v>
      </c>
      <c r="I474" s="3552">
        <f ca="1">典型户型修正车!S360</f>
        <v>19</v>
      </c>
    </row>
    <row r="475" spans="1:9" s="3472" customFormat="1" hidden="1">
      <c r="A475" s="3911"/>
      <c r="B475" s="3897"/>
      <c r="C475" s="3897"/>
      <c r="D475" s="3898"/>
      <c r="E475" s="3514" t="s">
        <v>3909</v>
      </c>
      <c r="F475" s="3522">
        <v>80.86</v>
      </c>
      <c r="G475" s="3509">
        <v>13.12</v>
      </c>
      <c r="H475" s="3505" t="s">
        <v>3557</v>
      </c>
      <c r="I475" s="3552">
        <f ca="1">典型户型修正车!S361</f>
        <v>19</v>
      </c>
    </row>
    <row r="476" spans="1:9" s="3472" customFormat="1" hidden="1">
      <c r="A476" s="3911"/>
      <c r="B476" s="3897"/>
      <c r="C476" s="3897"/>
      <c r="D476" s="3898"/>
      <c r="E476" s="3514" t="s">
        <v>3910</v>
      </c>
      <c r="F476" s="3522">
        <v>80.86</v>
      </c>
      <c r="G476" s="3509">
        <v>13.12</v>
      </c>
      <c r="H476" s="3505" t="s">
        <v>3557</v>
      </c>
      <c r="I476" s="3552">
        <f ca="1">典型户型修正车!S362</f>
        <v>19</v>
      </c>
    </row>
    <row r="477" spans="1:9" s="3472" customFormat="1" hidden="1">
      <c r="A477" s="3911"/>
      <c r="B477" s="3897"/>
      <c r="C477" s="3897"/>
      <c r="D477" s="3898"/>
      <c r="E477" s="3514" t="s">
        <v>3911</v>
      </c>
      <c r="F477" s="3522">
        <v>80.86</v>
      </c>
      <c r="G477" s="3509">
        <v>13.12</v>
      </c>
      <c r="H477" s="3505" t="s">
        <v>3557</v>
      </c>
      <c r="I477" s="3552">
        <f ca="1">典型户型修正车!S363</f>
        <v>19</v>
      </c>
    </row>
    <row r="478" spans="1:9" s="3472" customFormat="1" hidden="1">
      <c r="A478" s="3911"/>
      <c r="B478" s="3897"/>
      <c r="C478" s="3897"/>
      <c r="D478" s="3898"/>
      <c r="E478" s="3514" t="s">
        <v>3912</v>
      </c>
      <c r="F478" s="3522">
        <v>80.86</v>
      </c>
      <c r="G478" s="3509">
        <v>13.12</v>
      </c>
      <c r="H478" s="3505" t="s">
        <v>3557</v>
      </c>
      <c r="I478" s="3552">
        <f ca="1">典型户型修正车!S364</f>
        <v>19</v>
      </c>
    </row>
    <row r="479" spans="1:9" s="3472" customFormat="1" hidden="1">
      <c r="A479" s="3911"/>
      <c r="B479" s="3897"/>
      <c r="C479" s="3897"/>
      <c r="D479" s="3898"/>
      <c r="E479" s="3514" t="s">
        <v>3913</v>
      </c>
      <c r="F479" s="3522">
        <v>68.27</v>
      </c>
      <c r="G479" s="3509">
        <v>11.07</v>
      </c>
      <c r="H479" s="3505" t="s">
        <v>3557</v>
      </c>
      <c r="I479" s="3552">
        <f ca="1">典型户型修正车!S365</f>
        <v>15</v>
      </c>
    </row>
    <row r="480" spans="1:9" s="3472" customFormat="1" hidden="1">
      <c r="A480" s="3911"/>
      <c r="B480" s="3897"/>
      <c r="C480" s="3897"/>
      <c r="D480" s="3898"/>
      <c r="E480" s="3514" t="s">
        <v>3914</v>
      </c>
      <c r="F480" s="3522">
        <v>40.43</v>
      </c>
      <c r="G480" s="3509">
        <v>6.56</v>
      </c>
      <c r="H480" s="3505" t="s">
        <v>3557</v>
      </c>
      <c r="I480" s="3552">
        <f ca="1">典型户型修正车!S366</f>
        <v>9</v>
      </c>
    </row>
    <row r="481" spans="1:9" s="3472" customFormat="1" hidden="1">
      <c r="A481" s="3911"/>
      <c r="B481" s="3897"/>
      <c r="C481" s="3897"/>
      <c r="D481" s="3898"/>
      <c r="E481" s="3514" t="s">
        <v>3915</v>
      </c>
      <c r="F481" s="3522">
        <v>80.86</v>
      </c>
      <c r="G481" s="3509">
        <v>13.12</v>
      </c>
      <c r="H481" s="3505" t="s">
        <v>3557</v>
      </c>
      <c r="I481" s="3552">
        <f ca="1">典型户型修正车!S367</f>
        <v>19</v>
      </c>
    </row>
    <row r="482" spans="1:9" s="3472" customFormat="1" hidden="1">
      <c r="A482" s="3911"/>
      <c r="B482" s="3897"/>
      <c r="C482" s="3897"/>
      <c r="D482" s="3898"/>
      <c r="E482" s="3514" t="s">
        <v>3916</v>
      </c>
      <c r="F482" s="3522">
        <v>80.86</v>
      </c>
      <c r="G482" s="3509">
        <v>13.12</v>
      </c>
      <c r="H482" s="3505" t="s">
        <v>3557</v>
      </c>
      <c r="I482" s="3552">
        <f ca="1">典型户型修正车!S368</f>
        <v>19</v>
      </c>
    </row>
    <row r="483" spans="1:9" s="3472" customFormat="1" hidden="1">
      <c r="A483" s="3911"/>
      <c r="B483" s="3897" t="s">
        <v>3769</v>
      </c>
      <c r="C483" s="3897" t="s">
        <v>3770</v>
      </c>
      <c r="D483" s="3898" t="s">
        <v>3771</v>
      </c>
      <c r="E483" s="3514" t="s">
        <v>3917</v>
      </c>
      <c r="F483" s="3522">
        <v>40.43</v>
      </c>
      <c r="G483" s="3509">
        <v>6.56</v>
      </c>
      <c r="H483" s="3505" t="s">
        <v>3557</v>
      </c>
      <c r="I483" s="3552">
        <f ca="1">典型户型修正车!S369</f>
        <v>9</v>
      </c>
    </row>
    <row r="484" spans="1:9" s="3472" customFormat="1" hidden="1">
      <c r="A484" s="3911"/>
      <c r="B484" s="3897"/>
      <c r="C484" s="3897"/>
      <c r="D484" s="3898"/>
      <c r="E484" s="3514" t="s">
        <v>3918</v>
      </c>
      <c r="F484" s="3522">
        <v>40.43</v>
      </c>
      <c r="G484" s="3509">
        <v>6.56</v>
      </c>
      <c r="H484" s="3505" t="s">
        <v>3557</v>
      </c>
      <c r="I484" s="3552">
        <f ca="1">典型户型修正车!S370</f>
        <v>9</v>
      </c>
    </row>
    <row r="485" spans="1:9" s="3472" customFormat="1" hidden="1">
      <c r="A485" s="3911"/>
      <c r="B485" s="3897"/>
      <c r="C485" s="3897"/>
      <c r="D485" s="3898"/>
      <c r="E485" s="3514" t="s">
        <v>3919</v>
      </c>
      <c r="F485" s="3522">
        <v>40.43</v>
      </c>
      <c r="G485" s="3509">
        <v>6.56</v>
      </c>
      <c r="H485" s="3505" t="s">
        <v>3557</v>
      </c>
      <c r="I485" s="3552">
        <f ca="1">典型户型修正车!S371</f>
        <v>9</v>
      </c>
    </row>
    <row r="486" spans="1:9" s="3472" customFormat="1" hidden="1">
      <c r="A486" s="3911"/>
      <c r="B486" s="3897"/>
      <c r="C486" s="3897"/>
      <c r="D486" s="3898"/>
      <c r="E486" s="3514" t="s">
        <v>3920</v>
      </c>
      <c r="F486" s="3522">
        <v>40.43</v>
      </c>
      <c r="G486" s="3509">
        <v>6.56</v>
      </c>
      <c r="H486" s="3505" t="s">
        <v>3557</v>
      </c>
      <c r="I486" s="3552">
        <f ca="1">典型户型修正车!S372</f>
        <v>9</v>
      </c>
    </row>
    <row r="487" spans="1:9" s="3472" customFormat="1" hidden="1">
      <c r="A487" s="3911"/>
      <c r="B487" s="3897"/>
      <c r="C487" s="3897"/>
      <c r="D487" s="3898"/>
      <c r="E487" s="3514" t="s">
        <v>3921</v>
      </c>
      <c r="F487" s="3522">
        <v>40.43</v>
      </c>
      <c r="G487" s="3509">
        <v>6.56</v>
      </c>
      <c r="H487" s="3505" t="s">
        <v>3557</v>
      </c>
      <c r="I487" s="3552">
        <f ca="1">典型户型修正车!S373</f>
        <v>9</v>
      </c>
    </row>
    <row r="488" spans="1:9" s="3472" customFormat="1" hidden="1">
      <c r="A488" s="3911"/>
      <c r="B488" s="3897"/>
      <c r="C488" s="3897"/>
      <c r="D488" s="3898"/>
      <c r="E488" s="3514" t="s">
        <v>3922</v>
      </c>
      <c r="F488" s="3522">
        <v>40.43</v>
      </c>
      <c r="G488" s="3509">
        <v>6.56</v>
      </c>
      <c r="H488" s="3505" t="s">
        <v>3557</v>
      </c>
      <c r="I488" s="3552">
        <f ca="1">典型户型修正车!S374</f>
        <v>9</v>
      </c>
    </row>
    <row r="489" spans="1:9" s="3472" customFormat="1" hidden="1">
      <c r="A489" s="3911"/>
      <c r="B489" s="3897"/>
      <c r="C489" s="3897"/>
      <c r="D489" s="3898"/>
      <c r="E489" s="3514" t="s">
        <v>3923</v>
      </c>
      <c r="F489" s="3522">
        <v>40.43</v>
      </c>
      <c r="G489" s="3509">
        <v>6.56</v>
      </c>
      <c r="H489" s="3505" t="s">
        <v>3557</v>
      </c>
      <c r="I489" s="3552">
        <f ca="1">典型户型修正车!S375</f>
        <v>9</v>
      </c>
    </row>
    <row r="490" spans="1:9" s="3472" customFormat="1" hidden="1">
      <c r="A490" s="3911"/>
      <c r="B490" s="3897"/>
      <c r="C490" s="3897"/>
      <c r="D490" s="3898"/>
      <c r="E490" s="3514" t="s">
        <v>3924</v>
      </c>
      <c r="F490" s="3522">
        <v>40.43</v>
      </c>
      <c r="G490" s="3509">
        <v>6.56</v>
      </c>
      <c r="H490" s="3505" t="s">
        <v>3557</v>
      </c>
      <c r="I490" s="3552">
        <f ca="1">典型户型修正车!S376</f>
        <v>9</v>
      </c>
    </row>
    <row r="491" spans="1:9" s="3472" customFormat="1" hidden="1">
      <c r="A491" s="3911"/>
      <c r="B491" s="3897"/>
      <c r="C491" s="3897"/>
      <c r="D491" s="3898"/>
      <c r="E491" s="3514" t="s">
        <v>3925</v>
      </c>
      <c r="F491" s="3522">
        <v>40.43</v>
      </c>
      <c r="G491" s="3509">
        <v>6.56</v>
      </c>
      <c r="H491" s="3505" t="s">
        <v>3557</v>
      </c>
      <c r="I491" s="3552">
        <f ca="1">典型户型修正车!S377</f>
        <v>9</v>
      </c>
    </row>
    <row r="492" spans="1:9" s="3472" customFormat="1" hidden="1">
      <c r="A492" s="3911"/>
      <c r="B492" s="3897"/>
      <c r="C492" s="3897"/>
      <c r="D492" s="3898"/>
      <c r="E492" s="3514" t="s">
        <v>3926</v>
      </c>
      <c r="F492" s="3522">
        <v>40.43</v>
      </c>
      <c r="G492" s="3509">
        <v>6.56</v>
      </c>
      <c r="H492" s="3505" t="s">
        <v>3557</v>
      </c>
      <c r="I492" s="3552">
        <f ca="1">典型户型修正车!S378</f>
        <v>9</v>
      </c>
    </row>
    <row r="493" spans="1:9" s="3472" customFormat="1" hidden="1">
      <c r="A493" s="3911"/>
      <c r="B493" s="3897"/>
      <c r="C493" s="3897"/>
      <c r="D493" s="3898"/>
      <c r="E493" s="3514" t="s">
        <v>3927</v>
      </c>
      <c r="F493" s="3522">
        <v>40.43</v>
      </c>
      <c r="G493" s="3509">
        <v>6.56</v>
      </c>
      <c r="H493" s="3505" t="s">
        <v>3557</v>
      </c>
      <c r="I493" s="3552">
        <f ca="1">典型户型修正车!S379</f>
        <v>9</v>
      </c>
    </row>
    <row r="494" spans="1:9" s="3472" customFormat="1" hidden="1">
      <c r="A494" s="3911"/>
      <c r="B494" s="3897"/>
      <c r="C494" s="3897"/>
      <c r="D494" s="3898"/>
      <c r="E494" s="3514" t="s">
        <v>3928</v>
      </c>
      <c r="F494" s="3522">
        <v>40.43</v>
      </c>
      <c r="G494" s="3509">
        <v>6.56</v>
      </c>
      <c r="H494" s="3505" t="s">
        <v>3557</v>
      </c>
      <c r="I494" s="3552">
        <f ca="1">典型户型修正车!S380</f>
        <v>9</v>
      </c>
    </row>
    <row r="495" spans="1:9" s="3472" customFormat="1" hidden="1">
      <c r="A495" s="3911"/>
      <c r="B495" s="3897"/>
      <c r="C495" s="3897"/>
      <c r="D495" s="3898"/>
      <c r="E495" s="3514" t="s">
        <v>3929</v>
      </c>
      <c r="F495" s="3522">
        <v>40.43</v>
      </c>
      <c r="G495" s="3509">
        <v>6.56</v>
      </c>
      <c r="H495" s="3505" t="s">
        <v>3557</v>
      </c>
      <c r="I495" s="3552">
        <f ca="1">典型户型修正车!S381</f>
        <v>9</v>
      </c>
    </row>
    <row r="496" spans="1:9" s="3472" customFormat="1" hidden="1">
      <c r="A496" s="3911"/>
      <c r="B496" s="3897"/>
      <c r="C496" s="3897"/>
      <c r="D496" s="3898"/>
      <c r="E496" s="3514" t="s">
        <v>3930</v>
      </c>
      <c r="F496" s="3522">
        <v>40.43</v>
      </c>
      <c r="G496" s="3509">
        <v>6.56</v>
      </c>
      <c r="H496" s="3505" t="s">
        <v>3557</v>
      </c>
      <c r="I496" s="3552">
        <f ca="1">典型户型修正车!S382</f>
        <v>9</v>
      </c>
    </row>
    <row r="497" spans="1:9" s="3472" customFormat="1" hidden="1">
      <c r="A497" s="3911"/>
      <c r="B497" s="3897"/>
      <c r="C497" s="3897"/>
      <c r="D497" s="3898"/>
      <c r="E497" s="3514" t="s">
        <v>3931</v>
      </c>
      <c r="F497" s="3522">
        <v>40.43</v>
      </c>
      <c r="G497" s="3509">
        <v>6.56</v>
      </c>
      <c r="H497" s="3505" t="s">
        <v>3557</v>
      </c>
      <c r="I497" s="3552">
        <f ca="1">典型户型修正车!S383</f>
        <v>9</v>
      </c>
    </row>
    <row r="498" spans="1:9" s="3472" customFormat="1" hidden="1">
      <c r="A498" s="3911"/>
      <c r="B498" s="3897"/>
      <c r="C498" s="3897"/>
      <c r="D498" s="3898"/>
      <c r="E498" s="3514" t="s">
        <v>3932</v>
      </c>
      <c r="F498" s="3522">
        <v>40.43</v>
      </c>
      <c r="G498" s="3509">
        <v>6.56</v>
      </c>
      <c r="H498" s="3505" t="s">
        <v>3557</v>
      </c>
      <c r="I498" s="3552">
        <f ca="1">典型户型修正车!S384</f>
        <v>9</v>
      </c>
    </row>
    <row r="499" spans="1:9" s="3472" customFormat="1" hidden="1">
      <c r="A499" s="3911"/>
      <c r="B499" s="3897"/>
      <c r="C499" s="3897"/>
      <c r="D499" s="3898"/>
      <c r="E499" s="3514" t="s">
        <v>3933</v>
      </c>
      <c r="F499" s="3522">
        <v>40.43</v>
      </c>
      <c r="G499" s="3509">
        <v>6.56</v>
      </c>
      <c r="H499" s="3505" t="s">
        <v>3557</v>
      </c>
      <c r="I499" s="3552">
        <f ca="1">典型户型修正车!S385</f>
        <v>9</v>
      </c>
    </row>
    <row r="500" spans="1:9" s="3472" customFormat="1" hidden="1">
      <c r="A500" s="3911"/>
      <c r="B500" s="3897"/>
      <c r="C500" s="3897"/>
      <c r="D500" s="3898"/>
      <c r="E500" s="3514" t="s">
        <v>3934</v>
      </c>
      <c r="F500" s="3522">
        <v>40.43</v>
      </c>
      <c r="G500" s="3509">
        <v>6.56</v>
      </c>
      <c r="H500" s="3505" t="s">
        <v>3557</v>
      </c>
      <c r="I500" s="3552">
        <f ca="1">典型户型修正车!S386</f>
        <v>9</v>
      </c>
    </row>
    <row r="501" spans="1:9" s="3472" customFormat="1" hidden="1">
      <c r="A501" s="3911"/>
      <c r="B501" s="3897"/>
      <c r="C501" s="3897"/>
      <c r="D501" s="3898"/>
      <c r="E501" s="3514" t="s">
        <v>3935</v>
      </c>
      <c r="F501" s="3522">
        <v>40.43</v>
      </c>
      <c r="G501" s="3509">
        <v>6.56</v>
      </c>
      <c r="H501" s="3505" t="s">
        <v>3557</v>
      </c>
      <c r="I501" s="3552">
        <f ca="1">典型户型修正车!S387</f>
        <v>9</v>
      </c>
    </row>
    <row r="502" spans="1:9" s="3472" customFormat="1" hidden="1">
      <c r="A502" s="3911"/>
      <c r="B502" s="3897"/>
      <c r="C502" s="3897"/>
      <c r="D502" s="3898"/>
      <c r="E502" s="3514" t="s">
        <v>3936</v>
      </c>
      <c r="F502" s="3522">
        <v>40.43</v>
      </c>
      <c r="G502" s="3509">
        <v>6.56</v>
      </c>
      <c r="H502" s="3505" t="s">
        <v>3557</v>
      </c>
      <c r="I502" s="3552">
        <f ca="1">典型户型修正车!S388</f>
        <v>9</v>
      </c>
    </row>
    <row r="503" spans="1:9" s="3472" customFormat="1" hidden="1">
      <c r="A503" s="3911"/>
      <c r="B503" s="3897"/>
      <c r="C503" s="3897"/>
      <c r="D503" s="3898"/>
      <c r="E503" s="3514" t="s">
        <v>3937</v>
      </c>
      <c r="F503" s="3522">
        <v>40.43</v>
      </c>
      <c r="G503" s="3509">
        <v>6.56</v>
      </c>
      <c r="H503" s="3505" t="s">
        <v>3557</v>
      </c>
      <c r="I503" s="3552">
        <f ca="1">典型户型修正车!S389</f>
        <v>9</v>
      </c>
    </row>
    <row r="504" spans="1:9" s="3472" customFormat="1" hidden="1">
      <c r="A504" s="3911"/>
      <c r="B504" s="3897"/>
      <c r="C504" s="3897"/>
      <c r="D504" s="3898"/>
      <c r="E504" s="3514" t="s">
        <v>3938</v>
      </c>
      <c r="F504" s="3522">
        <v>40.43</v>
      </c>
      <c r="G504" s="3509">
        <v>6.56</v>
      </c>
      <c r="H504" s="3505" t="s">
        <v>3557</v>
      </c>
      <c r="I504" s="3552">
        <f ca="1">典型户型修正车!S390</f>
        <v>9</v>
      </c>
    </row>
    <row r="505" spans="1:9" s="3472" customFormat="1" hidden="1">
      <c r="A505" s="3911"/>
      <c r="B505" s="3897"/>
      <c r="C505" s="3897"/>
      <c r="D505" s="3898"/>
      <c r="E505" s="3514" t="s">
        <v>3939</v>
      </c>
      <c r="F505" s="3522">
        <v>40.43</v>
      </c>
      <c r="G505" s="3509">
        <v>6.56</v>
      </c>
      <c r="H505" s="3505" t="s">
        <v>3557</v>
      </c>
      <c r="I505" s="3552">
        <f ca="1">典型户型修正车!S391</f>
        <v>9</v>
      </c>
    </row>
    <row r="506" spans="1:9" s="3472" customFormat="1" hidden="1">
      <c r="A506" s="3911"/>
      <c r="B506" s="3897"/>
      <c r="C506" s="3897"/>
      <c r="D506" s="3898"/>
      <c r="E506" s="3514" t="s">
        <v>3940</v>
      </c>
      <c r="F506" s="3522">
        <v>40.43</v>
      </c>
      <c r="G506" s="3509">
        <v>6.56</v>
      </c>
      <c r="H506" s="3505" t="s">
        <v>3557</v>
      </c>
      <c r="I506" s="3552">
        <f ca="1">典型户型修正车!S392</f>
        <v>9</v>
      </c>
    </row>
    <row r="507" spans="1:9" s="3472" customFormat="1" hidden="1">
      <c r="A507" s="3911"/>
      <c r="B507" s="3897"/>
      <c r="C507" s="3897"/>
      <c r="D507" s="3898"/>
      <c r="E507" s="3514" t="s">
        <v>3941</v>
      </c>
      <c r="F507" s="3522">
        <v>40.43</v>
      </c>
      <c r="G507" s="3509">
        <v>6.56</v>
      </c>
      <c r="H507" s="3505" t="s">
        <v>3557</v>
      </c>
      <c r="I507" s="3552">
        <f ca="1">典型户型修正车!S393</f>
        <v>9</v>
      </c>
    </row>
    <row r="508" spans="1:9" s="3472" customFormat="1" hidden="1">
      <c r="A508" s="3911"/>
      <c r="B508" s="3897"/>
      <c r="C508" s="3897"/>
      <c r="D508" s="3898"/>
      <c r="E508" s="3514" t="s">
        <v>3942</v>
      </c>
      <c r="F508" s="3522">
        <v>40.43</v>
      </c>
      <c r="G508" s="3509">
        <v>6.56</v>
      </c>
      <c r="H508" s="3505" t="s">
        <v>3557</v>
      </c>
      <c r="I508" s="3552">
        <f ca="1">典型户型修正车!S394</f>
        <v>9</v>
      </c>
    </row>
    <row r="509" spans="1:9" s="3472" customFormat="1" hidden="1">
      <c r="A509" s="3911"/>
      <c r="B509" s="3897"/>
      <c r="C509" s="3897"/>
      <c r="D509" s="3898"/>
      <c r="E509" s="3514" t="s">
        <v>3943</v>
      </c>
      <c r="F509" s="3522">
        <v>40.43</v>
      </c>
      <c r="G509" s="3509">
        <v>6.56</v>
      </c>
      <c r="H509" s="3505" t="s">
        <v>3557</v>
      </c>
      <c r="I509" s="3552">
        <f ca="1">典型户型修正车!S395</f>
        <v>9</v>
      </c>
    </row>
    <row r="510" spans="1:9" s="3472" customFormat="1" hidden="1">
      <c r="A510" s="3911"/>
      <c r="B510" s="3897"/>
      <c r="C510" s="3897"/>
      <c r="D510" s="3898"/>
      <c r="E510" s="3514" t="s">
        <v>3944</v>
      </c>
      <c r="F510" s="3522">
        <v>40.43</v>
      </c>
      <c r="G510" s="3509">
        <v>6.56</v>
      </c>
      <c r="H510" s="3505" t="s">
        <v>3557</v>
      </c>
      <c r="I510" s="3552">
        <f ca="1">典型户型修正车!S396</f>
        <v>9</v>
      </c>
    </row>
    <row r="511" spans="1:9" s="3472" customFormat="1" hidden="1">
      <c r="A511" s="3911"/>
      <c r="B511" s="3897"/>
      <c r="C511" s="3897"/>
      <c r="D511" s="3898"/>
      <c r="E511" s="3514" t="s">
        <v>3945</v>
      </c>
      <c r="F511" s="3522">
        <v>40.43</v>
      </c>
      <c r="G511" s="3509">
        <v>6.56</v>
      </c>
      <c r="H511" s="3505" t="s">
        <v>3557</v>
      </c>
      <c r="I511" s="3552">
        <f ca="1">典型户型修正车!S397</f>
        <v>9</v>
      </c>
    </row>
    <row r="512" spans="1:9" s="3472" customFormat="1" hidden="1">
      <c r="A512" s="3911"/>
      <c r="B512" s="3897"/>
      <c r="C512" s="3897"/>
      <c r="D512" s="3898"/>
      <c r="E512" s="3514" t="s">
        <v>3946</v>
      </c>
      <c r="F512" s="3522">
        <v>40.43</v>
      </c>
      <c r="G512" s="3509">
        <v>6.56</v>
      </c>
      <c r="H512" s="3505" t="s">
        <v>3557</v>
      </c>
      <c r="I512" s="3552">
        <f ca="1">典型户型修正车!S398</f>
        <v>9</v>
      </c>
    </row>
    <row r="513" spans="1:9" s="3472" customFormat="1" hidden="1">
      <c r="A513" s="3911"/>
      <c r="B513" s="3897"/>
      <c r="C513" s="3897"/>
      <c r="D513" s="3898"/>
      <c r="E513" s="3514" t="s">
        <v>3947</v>
      </c>
      <c r="F513" s="3522">
        <v>40.43</v>
      </c>
      <c r="G513" s="3509">
        <v>6.56</v>
      </c>
      <c r="H513" s="3505" t="s">
        <v>3557</v>
      </c>
      <c r="I513" s="3552">
        <f ca="1">典型户型修正车!S399</f>
        <v>9</v>
      </c>
    </row>
    <row r="514" spans="1:9" s="3472" customFormat="1" hidden="1">
      <c r="A514" s="3911"/>
      <c r="B514" s="3897"/>
      <c r="C514" s="3897"/>
      <c r="D514" s="3898"/>
      <c r="E514" s="3514" t="s">
        <v>3948</v>
      </c>
      <c r="F514" s="3522">
        <v>40.43</v>
      </c>
      <c r="G514" s="3509">
        <v>6.56</v>
      </c>
      <c r="H514" s="3505" t="s">
        <v>3557</v>
      </c>
      <c r="I514" s="3552">
        <f ca="1">典型户型修正车!S400</f>
        <v>9</v>
      </c>
    </row>
    <row r="515" spans="1:9" s="3472" customFormat="1" hidden="1">
      <c r="A515" s="3911"/>
      <c r="B515" s="3897"/>
      <c r="C515" s="3897"/>
      <c r="D515" s="3898"/>
      <c r="E515" s="3514" t="s">
        <v>3949</v>
      </c>
      <c r="F515" s="3522">
        <v>40.43</v>
      </c>
      <c r="G515" s="3509">
        <v>6.56</v>
      </c>
      <c r="H515" s="3505" t="s">
        <v>3557</v>
      </c>
      <c r="I515" s="3552">
        <f ca="1">典型户型修正车!S401</f>
        <v>9</v>
      </c>
    </row>
    <row r="516" spans="1:9" s="3472" customFormat="1" hidden="1">
      <c r="A516" s="3911"/>
      <c r="B516" s="3897"/>
      <c r="C516" s="3897"/>
      <c r="D516" s="3898"/>
      <c r="E516" s="3514" t="s">
        <v>3950</v>
      </c>
      <c r="F516" s="3522">
        <v>40.43</v>
      </c>
      <c r="G516" s="3509">
        <v>6.56</v>
      </c>
      <c r="H516" s="3505" t="s">
        <v>3557</v>
      </c>
      <c r="I516" s="3552">
        <f ca="1">典型户型修正车!S402</f>
        <v>9</v>
      </c>
    </row>
    <row r="517" spans="1:9" s="3472" customFormat="1" hidden="1">
      <c r="A517" s="3911"/>
      <c r="B517" s="3897"/>
      <c r="C517" s="3897"/>
      <c r="D517" s="3898"/>
      <c r="E517" s="3514" t="s">
        <v>3951</v>
      </c>
      <c r="F517" s="3522">
        <v>40.43</v>
      </c>
      <c r="G517" s="3509">
        <v>6.56</v>
      </c>
      <c r="H517" s="3505" t="s">
        <v>3557</v>
      </c>
      <c r="I517" s="3552">
        <f ca="1">典型户型修正车!S403</f>
        <v>9</v>
      </c>
    </row>
    <row r="518" spans="1:9" s="3472" customFormat="1" hidden="1">
      <c r="A518" s="3911"/>
      <c r="B518" s="3897"/>
      <c r="C518" s="3897"/>
      <c r="D518" s="3898"/>
      <c r="E518" s="3514" t="s">
        <v>3952</v>
      </c>
      <c r="F518" s="3522">
        <v>40.43</v>
      </c>
      <c r="G518" s="3509">
        <v>6.56</v>
      </c>
      <c r="H518" s="3505" t="s">
        <v>3557</v>
      </c>
      <c r="I518" s="3552">
        <f ca="1">典型户型修正车!S404</f>
        <v>9</v>
      </c>
    </row>
    <row r="519" spans="1:9" s="3472" customFormat="1" hidden="1">
      <c r="A519" s="3911"/>
      <c r="B519" s="3897"/>
      <c r="C519" s="3897"/>
      <c r="D519" s="3898"/>
      <c r="E519" s="3514" t="s">
        <v>3953</v>
      </c>
      <c r="F519" s="3522">
        <v>40.43</v>
      </c>
      <c r="G519" s="3509">
        <v>6.56</v>
      </c>
      <c r="H519" s="3505" t="s">
        <v>3557</v>
      </c>
      <c r="I519" s="3552">
        <f ca="1">典型户型修正车!S405</f>
        <v>9</v>
      </c>
    </row>
    <row r="520" spans="1:9" s="3472" customFormat="1" hidden="1">
      <c r="A520" s="3911"/>
      <c r="B520" s="3897" t="s">
        <v>3769</v>
      </c>
      <c r="C520" s="3897" t="s">
        <v>3770</v>
      </c>
      <c r="D520" s="3898" t="s">
        <v>3771</v>
      </c>
      <c r="E520" s="3514" t="s">
        <v>3954</v>
      </c>
      <c r="F520" s="3522">
        <v>40.43</v>
      </c>
      <c r="G520" s="3509">
        <v>6.56</v>
      </c>
      <c r="H520" s="3505" t="s">
        <v>3557</v>
      </c>
      <c r="I520" s="3552">
        <f ca="1">典型户型修正车!S406</f>
        <v>9</v>
      </c>
    </row>
    <row r="521" spans="1:9" s="3472" customFormat="1" hidden="1">
      <c r="A521" s="3911"/>
      <c r="B521" s="3897"/>
      <c r="C521" s="3897"/>
      <c r="D521" s="3898"/>
      <c r="E521" s="3514" t="s">
        <v>3955</v>
      </c>
      <c r="F521" s="3522">
        <v>40.43</v>
      </c>
      <c r="G521" s="3509">
        <v>6.56</v>
      </c>
      <c r="H521" s="3505" t="s">
        <v>3557</v>
      </c>
      <c r="I521" s="3552">
        <f ca="1">典型户型修正车!S407</f>
        <v>9</v>
      </c>
    </row>
    <row r="522" spans="1:9" s="3472" customFormat="1" hidden="1">
      <c r="A522" s="3911"/>
      <c r="B522" s="3897"/>
      <c r="C522" s="3897"/>
      <c r="D522" s="3898"/>
      <c r="E522" s="3514" t="s">
        <v>3956</v>
      </c>
      <c r="F522" s="3522">
        <v>40.43</v>
      </c>
      <c r="G522" s="3509">
        <v>6.56</v>
      </c>
      <c r="H522" s="3505" t="s">
        <v>3557</v>
      </c>
      <c r="I522" s="3552">
        <f ca="1">典型户型修正车!S408</f>
        <v>9</v>
      </c>
    </row>
    <row r="523" spans="1:9" s="3472" customFormat="1" hidden="1">
      <c r="A523" s="3911"/>
      <c r="B523" s="3897"/>
      <c r="C523" s="3897"/>
      <c r="D523" s="3898"/>
      <c r="E523" s="3514" t="s">
        <v>3957</v>
      </c>
      <c r="F523" s="3522">
        <v>40.43</v>
      </c>
      <c r="G523" s="3509">
        <v>6.56</v>
      </c>
      <c r="H523" s="3505" t="s">
        <v>3557</v>
      </c>
      <c r="I523" s="3552">
        <f ca="1">典型户型修正车!S409</f>
        <v>9</v>
      </c>
    </row>
    <row r="524" spans="1:9" s="3472" customFormat="1" hidden="1">
      <c r="A524" s="3911"/>
      <c r="B524" s="3897"/>
      <c r="C524" s="3897"/>
      <c r="D524" s="3898"/>
      <c r="E524" s="3514" t="s">
        <v>3958</v>
      </c>
      <c r="F524" s="3522">
        <v>40.43</v>
      </c>
      <c r="G524" s="3509">
        <v>6.56</v>
      </c>
      <c r="H524" s="3505" t="s">
        <v>3557</v>
      </c>
      <c r="I524" s="3552">
        <f ca="1">典型户型修正车!S410</f>
        <v>9</v>
      </c>
    </row>
    <row r="525" spans="1:9" s="3472" customFormat="1" hidden="1">
      <c r="A525" s="3911"/>
      <c r="B525" s="3897"/>
      <c r="C525" s="3897"/>
      <c r="D525" s="3898"/>
      <c r="E525" s="3514" t="s">
        <v>3959</v>
      </c>
      <c r="F525" s="3522">
        <v>40.43</v>
      </c>
      <c r="G525" s="3509">
        <v>6.56</v>
      </c>
      <c r="H525" s="3505" t="s">
        <v>3557</v>
      </c>
      <c r="I525" s="3552">
        <f ca="1">典型户型修正车!S411</f>
        <v>9</v>
      </c>
    </row>
    <row r="526" spans="1:9" s="3472" customFormat="1" hidden="1">
      <c r="A526" s="3911"/>
      <c r="B526" s="3897"/>
      <c r="C526" s="3897"/>
      <c r="D526" s="3898"/>
      <c r="E526" s="3514" t="s">
        <v>3960</v>
      </c>
      <c r="F526" s="3522">
        <v>40.43</v>
      </c>
      <c r="G526" s="3509">
        <v>6.56</v>
      </c>
      <c r="H526" s="3505" t="s">
        <v>3557</v>
      </c>
      <c r="I526" s="3552">
        <f ca="1">典型户型修正车!S412</f>
        <v>9</v>
      </c>
    </row>
    <row r="527" spans="1:9" s="3472" customFormat="1" hidden="1">
      <c r="A527" s="3911"/>
      <c r="B527" s="3897"/>
      <c r="C527" s="3897"/>
      <c r="D527" s="3898"/>
      <c r="E527" s="3514" t="s">
        <v>3961</v>
      </c>
      <c r="F527" s="3522">
        <v>40.43</v>
      </c>
      <c r="G527" s="3509">
        <v>6.56</v>
      </c>
      <c r="H527" s="3505" t="s">
        <v>3557</v>
      </c>
      <c r="I527" s="3552">
        <f ca="1">典型户型修正车!S413</f>
        <v>9</v>
      </c>
    </row>
    <row r="528" spans="1:9" s="3472" customFormat="1" hidden="1">
      <c r="A528" s="3911"/>
      <c r="B528" s="3897"/>
      <c r="C528" s="3897"/>
      <c r="D528" s="3898"/>
      <c r="E528" s="3514" t="s">
        <v>3962</v>
      </c>
      <c r="F528" s="3522">
        <v>40.43</v>
      </c>
      <c r="G528" s="3509">
        <v>6.56</v>
      </c>
      <c r="H528" s="3505" t="s">
        <v>3557</v>
      </c>
      <c r="I528" s="3552">
        <f ca="1">典型户型修正车!S414</f>
        <v>9</v>
      </c>
    </row>
    <row r="529" spans="1:9" s="3472" customFormat="1" hidden="1">
      <c r="A529" s="3911"/>
      <c r="B529" s="3897"/>
      <c r="C529" s="3897"/>
      <c r="D529" s="3898"/>
      <c r="E529" s="3514" t="s">
        <v>3963</v>
      </c>
      <c r="F529" s="3522">
        <v>40.43</v>
      </c>
      <c r="G529" s="3509">
        <v>6.56</v>
      </c>
      <c r="H529" s="3505" t="s">
        <v>3557</v>
      </c>
      <c r="I529" s="3552">
        <f ca="1">典型户型修正车!S415</f>
        <v>9</v>
      </c>
    </row>
    <row r="530" spans="1:9" s="3472" customFormat="1" hidden="1">
      <c r="A530" s="3911"/>
      <c r="B530" s="3897"/>
      <c r="C530" s="3897"/>
      <c r="D530" s="3898"/>
      <c r="E530" s="3514" t="s">
        <v>3964</v>
      </c>
      <c r="F530" s="3522">
        <v>40.43</v>
      </c>
      <c r="G530" s="3509">
        <v>6.56</v>
      </c>
      <c r="H530" s="3505" t="s">
        <v>3557</v>
      </c>
      <c r="I530" s="3552">
        <f ca="1">典型户型修正车!S416</f>
        <v>9</v>
      </c>
    </row>
    <row r="531" spans="1:9" s="3472" customFormat="1" hidden="1">
      <c r="A531" s="3911"/>
      <c r="B531" s="3897"/>
      <c r="C531" s="3897"/>
      <c r="D531" s="3898"/>
      <c r="E531" s="3514" t="s">
        <v>3965</v>
      </c>
      <c r="F531" s="3522">
        <v>40.43</v>
      </c>
      <c r="G531" s="3509">
        <v>6.56</v>
      </c>
      <c r="H531" s="3505" t="s">
        <v>3557</v>
      </c>
      <c r="I531" s="3552">
        <f ca="1">典型户型修正车!S417</f>
        <v>9</v>
      </c>
    </row>
    <row r="532" spans="1:9" s="3472" customFormat="1" hidden="1">
      <c r="A532" s="3911"/>
      <c r="B532" s="3897"/>
      <c r="C532" s="3897"/>
      <c r="D532" s="3898"/>
      <c r="E532" s="3514" t="s">
        <v>3966</v>
      </c>
      <c r="F532" s="3522">
        <v>40.43</v>
      </c>
      <c r="G532" s="3509">
        <v>6.56</v>
      </c>
      <c r="H532" s="3505" t="s">
        <v>3557</v>
      </c>
      <c r="I532" s="3552">
        <f ca="1">典型户型修正车!S418</f>
        <v>9</v>
      </c>
    </row>
    <row r="533" spans="1:9" s="3472" customFormat="1" hidden="1">
      <c r="A533" s="3911"/>
      <c r="B533" s="3897"/>
      <c r="C533" s="3897"/>
      <c r="D533" s="3898"/>
      <c r="E533" s="3514" t="s">
        <v>3967</v>
      </c>
      <c r="F533" s="3522">
        <v>40.43</v>
      </c>
      <c r="G533" s="3509">
        <v>6.56</v>
      </c>
      <c r="H533" s="3505" t="s">
        <v>3557</v>
      </c>
      <c r="I533" s="3552">
        <f ca="1">典型户型修正车!S419</f>
        <v>9</v>
      </c>
    </row>
    <row r="534" spans="1:9" s="3472" customFormat="1" hidden="1">
      <c r="A534" s="3911"/>
      <c r="B534" s="3897"/>
      <c r="C534" s="3897"/>
      <c r="D534" s="3898"/>
      <c r="E534" s="3514" t="s">
        <v>3968</v>
      </c>
      <c r="F534" s="3522">
        <v>40.43</v>
      </c>
      <c r="G534" s="3509">
        <v>6.56</v>
      </c>
      <c r="H534" s="3505" t="s">
        <v>3557</v>
      </c>
      <c r="I534" s="3552">
        <f ca="1">典型户型修正车!S420</f>
        <v>9</v>
      </c>
    </row>
    <row r="535" spans="1:9" s="3472" customFormat="1" hidden="1">
      <c r="A535" s="3911"/>
      <c r="B535" s="3897"/>
      <c r="C535" s="3897"/>
      <c r="D535" s="3898"/>
      <c r="E535" s="3514" t="s">
        <v>3969</v>
      </c>
      <c r="F535" s="3522">
        <v>40.43</v>
      </c>
      <c r="G535" s="3509">
        <v>6.56</v>
      </c>
      <c r="H535" s="3505" t="s">
        <v>3557</v>
      </c>
      <c r="I535" s="3552">
        <f ca="1">典型户型修正车!S421</f>
        <v>9</v>
      </c>
    </row>
    <row r="536" spans="1:9" s="3472" customFormat="1" hidden="1">
      <c r="A536" s="3911"/>
      <c r="B536" s="3897"/>
      <c r="C536" s="3897"/>
      <c r="D536" s="3898"/>
      <c r="E536" s="3514" t="s">
        <v>3970</v>
      </c>
      <c r="F536" s="3522">
        <v>40.43</v>
      </c>
      <c r="G536" s="3509">
        <v>6.56</v>
      </c>
      <c r="H536" s="3505" t="s">
        <v>3557</v>
      </c>
      <c r="I536" s="3552">
        <f ca="1">典型户型修正车!S422</f>
        <v>9</v>
      </c>
    </row>
    <row r="537" spans="1:9" s="3472" customFormat="1" hidden="1">
      <c r="A537" s="3911"/>
      <c r="B537" s="3897"/>
      <c r="C537" s="3897"/>
      <c r="D537" s="3898"/>
      <c r="E537" s="3514" t="s">
        <v>3971</v>
      </c>
      <c r="F537" s="3522">
        <v>40.43</v>
      </c>
      <c r="G537" s="3509">
        <v>6.56</v>
      </c>
      <c r="H537" s="3505" t="s">
        <v>3557</v>
      </c>
      <c r="I537" s="3552">
        <f ca="1">典型户型修正车!S423</f>
        <v>9</v>
      </c>
    </row>
    <row r="538" spans="1:9" s="3472" customFormat="1" hidden="1">
      <c r="A538" s="3911"/>
      <c r="B538" s="3897"/>
      <c r="C538" s="3897"/>
      <c r="D538" s="3898"/>
      <c r="E538" s="3514" t="s">
        <v>3972</v>
      </c>
      <c r="F538" s="3522">
        <v>40.43</v>
      </c>
      <c r="G538" s="3509">
        <v>6.56</v>
      </c>
      <c r="H538" s="3505" t="s">
        <v>3557</v>
      </c>
      <c r="I538" s="3552">
        <f ca="1">典型户型修正车!S424</f>
        <v>9</v>
      </c>
    </row>
    <row r="539" spans="1:9" s="3472" customFormat="1" hidden="1">
      <c r="A539" s="3911"/>
      <c r="B539" s="3897"/>
      <c r="C539" s="3897"/>
      <c r="D539" s="3898"/>
      <c r="E539" s="3514" t="s">
        <v>3973</v>
      </c>
      <c r="F539" s="3522">
        <v>40.43</v>
      </c>
      <c r="G539" s="3509">
        <v>6.56</v>
      </c>
      <c r="H539" s="3505" t="s">
        <v>3557</v>
      </c>
      <c r="I539" s="3552">
        <f ca="1">典型户型修正车!S425</f>
        <v>9</v>
      </c>
    </row>
    <row r="540" spans="1:9" s="3472" customFormat="1" hidden="1">
      <c r="A540" s="3911"/>
      <c r="B540" s="3897"/>
      <c r="C540" s="3897"/>
      <c r="D540" s="3898"/>
      <c r="E540" s="3514" t="s">
        <v>3974</v>
      </c>
      <c r="F540" s="3522">
        <v>40.43</v>
      </c>
      <c r="G540" s="3509">
        <v>6.56</v>
      </c>
      <c r="H540" s="3505" t="s">
        <v>3557</v>
      </c>
      <c r="I540" s="3552">
        <f ca="1">典型户型修正车!S426</f>
        <v>9</v>
      </c>
    </row>
    <row r="541" spans="1:9" s="3472" customFormat="1" hidden="1">
      <c r="A541" s="3911"/>
      <c r="B541" s="3897"/>
      <c r="C541" s="3897"/>
      <c r="D541" s="3898"/>
      <c r="E541" s="3514" t="s">
        <v>3975</v>
      </c>
      <c r="F541" s="3522">
        <v>40.43</v>
      </c>
      <c r="G541" s="3509">
        <v>6.56</v>
      </c>
      <c r="H541" s="3505" t="s">
        <v>3557</v>
      </c>
      <c r="I541" s="3552">
        <f ca="1">典型户型修正车!S427</f>
        <v>9</v>
      </c>
    </row>
    <row r="542" spans="1:9" s="3472" customFormat="1" hidden="1">
      <c r="A542" s="3911"/>
      <c r="B542" s="3897"/>
      <c r="C542" s="3897"/>
      <c r="D542" s="3898"/>
      <c r="E542" s="3514" t="s">
        <v>3976</v>
      </c>
      <c r="F542" s="3522">
        <v>40.43</v>
      </c>
      <c r="G542" s="3509">
        <v>6.56</v>
      </c>
      <c r="H542" s="3505" t="s">
        <v>3557</v>
      </c>
      <c r="I542" s="3552">
        <f ca="1">典型户型修正车!S428</f>
        <v>9</v>
      </c>
    </row>
    <row r="543" spans="1:9" s="3472" customFormat="1" hidden="1">
      <c r="A543" s="3911"/>
      <c r="B543" s="3897"/>
      <c r="C543" s="3897"/>
      <c r="D543" s="3898"/>
      <c r="E543" s="3514" t="s">
        <v>3977</v>
      </c>
      <c r="F543" s="3522">
        <v>40.43</v>
      </c>
      <c r="G543" s="3509">
        <v>6.56</v>
      </c>
      <c r="H543" s="3505" t="s">
        <v>3557</v>
      </c>
      <c r="I543" s="3552">
        <f ca="1">典型户型修正车!S429</f>
        <v>9</v>
      </c>
    </row>
    <row r="544" spans="1:9" s="3472" customFormat="1" hidden="1">
      <c r="A544" s="3911"/>
      <c r="B544" s="3897"/>
      <c r="C544" s="3897"/>
      <c r="D544" s="3898"/>
      <c r="E544" s="3514" t="s">
        <v>3978</v>
      </c>
      <c r="F544" s="3522">
        <v>40.43</v>
      </c>
      <c r="G544" s="3509">
        <v>6.56</v>
      </c>
      <c r="H544" s="3505" t="s">
        <v>3557</v>
      </c>
      <c r="I544" s="3552">
        <f ca="1">典型户型修正车!S430</f>
        <v>9</v>
      </c>
    </row>
    <row r="545" spans="1:9" s="3472" customFormat="1" hidden="1">
      <c r="A545" s="3911"/>
      <c r="B545" s="3897"/>
      <c r="C545" s="3897"/>
      <c r="D545" s="3898"/>
      <c r="E545" s="3514" t="s">
        <v>3979</v>
      </c>
      <c r="F545" s="3522">
        <v>40.43</v>
      </c>
      <c r="G545" s="3509">
        <v>6.56</v>
      </c>
      <c r="H545" s="3505" t="s">
        <v>3557</v>
      </c>
      <c r="I545" s="3552">
        <f ca="1">典型户型修正车!S431</f>
        <v>9</v>
      </c>
    </row>
    <row r="546" spans="1:9" s="3472" customFormat="1" hidden="1">
      <c r="A546" s="3911"/>
      <c r="B546" s="3897"/>
      <c r="C546" s="3897"/>
      <c r="D546" s="3898"/>
      <c r="E546" s="3514" t="s">
        <v>3980</v>
      </c>
      <c r="F546" s="3522">
        <v>40.43</v>
      </c>
      <c r="G546" s="3509">
        <v>6.56</v>
      </c>
      <c r="H546" s="3505" t="s">
        <v>3557</v>
      </c>
      <c r="I546" s="3552">
        <f ca="1">典型户型修正车!S432</f>
        <v>9</v>
      </c>
    </row>
    <row r="547" spans="1:9" s="3472" customFormat="1" hidden="1">
      <c r="A547" s="3911"/>
      <c r="B547" s="3897"/>
      <c r="C547" s="3897"/>
      <c r="D547" s="3898"/>
      <c r="E547" s="3514" t="s">
        <v>3981</v>
      </c>
      <c r="F547" s="3522">
        <v>40.43</v>
      </c>
      <c r="G547" s="3509">
        <v>6.56</v>
      </c>
      <c r="H547" s="3505" t="s">
        <v>3557</v>
      </c>
      <c r="I547" s="3552">
        <f ca="1">典型户型修正车!S433</f>
        <v>9</v>
      </c>
    </row>
    <row r="548" spans="1:9" s="3472" customFormat="1" hidden="1">
      <c r="A548" s="3911"/>
      <c r="B548" s="3897"/>
      <c r="C548" s="3897"/>
      <c r="D548" s="3898"/>
      <c r="E548" s="3514" t="s">
        <v>3982</v>
      </c>
      <c r="F548" s="3522">
        <v>40.43</v>
      </c>
      <c r="G548" s="3509">
        <v>6.56</v>
      </c>
      <c r="H548" s="3505" t="s">
        <v>3557</v>
      </c>
      <c r="I548" s="3552">
        <f ca="1">典型户型修正车!S434</f>
        <v>9</v>
      </c>
    </row>
    <row r="549" spans="1:9" s="3472" customFormat="1" hidden="1">
      <c r="A549" s="3911"/>
      <c r="B549" s="3897"/>
      <c r="C549" s="3897"/>
      <c r="D549" s="3898"/>
      <c r="E549" s="3514" t="s">
        <v>3983</v>
      </c>
      <c r="F549" s="3522">
        <v>40.43</v>
      </c>
      <c r="G549" s="3509">
        <v>6.56</v>
      </c>
      <c r="H549" s="3505" t="s">
        <v>3557</v>
      </c>
      <c r="I549" s="3552">
        <f ca="1">典型户型修正车!S435</f>
        <v>9</v>
      </c>
    </row>
    <row r="550" spans="1:9" s="3472" customFormat="1" hidden="1">
      <c r="A550" s="3911"/>
      <c r="B550" s="3897"/>
      <c r="C550" s="3897"/>
      <c r="D550" s="3898"/>
      <c r="E550" s="3514" t="s">
        <v>3984</v>
      </c>
      <c r="F550" s="3522">
        <v>40.43</v>
      </c>
      <c r="G550" s="3509">
        <v>6.56</v>
      </c>
      <c r="H550" s="3505" t="s">
        <v>3557</v>
      </c>
      <c r="I550" s="3552">
        <f ca="1">典型户型修正车!S436</f>
        <v>9</v>
      </c>
    </row>
    <row r="551" spans="1:9" s="3472" customFormat="1" hidden="1">
      <c r="A551" s="3911"/>
      <c r="B551" s="3897"/>
      <c r="C551" s="3897"/>
      <c r="D551" s="3898"/>
      <c r="E551" s="3514" t="s">
        <v>3985</v>
      </c>
      <c r="F551" s="3522">
        <v>40.43</v>
      </c>
      <c r="G551" s="3509">
        <v>6.56</v>
      </c>
      <c r="H551" s="3505" t="s">
        <v>3557</v>
      </c>
      <c r="I551" s="3552">
        <f ca="1">典型户型修正车!S437</f>
        <v>9</v>
      </c>
    </row>
    <row r="552" spans="1:9" s="3472" customFormat="1" hidden="1">
      <c r="A552" s="3911"/>
      <c r="B552" s="3897"/>
      <c r="C552" s="3897"/>
      <c r="D552" s="3898"/>
      <c r="E552" s="3514" t="s">
        <v>3986</v>
      </c>
      <c r="F552" s="3522">
        <v>40.43</v>
      </c>
      <c r="G552" s="3509">
        <v>6.56</v>
      </c>
      <c r="H552" s="3505" t="s">
        <v>3557</v>
      </c>
      <c r="I552" s="3552">
        <f ca="1">典型户型修正车!S438</f>
        <v>9</v>
      </c>
    </row>
    <row r="553" spans="1:9" s="3472" customFormat="1" hidden="1">
      <c r="A553" s="3911"/>
      <c r="B553" s="3897"/>
      <c r="C553" s="3897"/>
      <c r="D553" s="3898"/>
      <c r="E553" s="3514" t="s">
        <v>3987</v>
      </c>
      <c r="F553" s="3522">
        <v>40.43</v>
      </c>
      <c r="G553" s="3509">
        <v>6.56</v>
      </c>
      <c r="H553" s="3505" t="s">
        <v>3557</v>
      </c>
      <c r="I553" s="3552">
        <f ca="1">典型户型修正车!S439</f>
        <v>9</v>
      </c>
    </row>
    <row r="554" spans="1:9" s="3472" customFormat="1" hidden="1">
      <c r="A554" s="3911"/>
      <c r="B554" s="3897"/>
      <c r="C554" s="3897"/>
      <c r="D554" s="3898"/>
      <c r="E554" s="3514" t="s">
        <v>3988</v>
      </c>
      <c r="F554" s="3522">
        <v>40.43</v>
      </c>
      <c r="G554" s="3509">
        <v>6.56</v>
      </c>
      <c r="H554" s="3505" t="s">
        <v>3557</v>
      </c>
      <c r="I554" s="3552">
        <f ca="1">典型户型修正车!S440</f>
        <v>9</v>
      </c>
    </row>
    <row r="555" spans="1:9" s="3472" customFormat="1" hidden="1">
      <c r="A555" s="3911"/>
      <c r="B555" s="3897"/>
      <c r="C555" s="3897"/>
      <c r="D555" s="3898"/>
      <c r="E555" s="3514" t="s">
        <v>3989</v>
      </c>
      <c r="F555" s="3522">
        <v>40.43</v>
      </c>
      <c r="G555" s="3509">
        <v>6.56</v>
      </c>
      <c r="H555" s="3505" t="s">
        <v>3557</v>
      </c>
      <c r="I555" s="3552">
        <f ca="1">典型户型修正车!S441</f>
        <v>9</v>
      </c>
    </row>
    <row r="556" spans="1:9" s="3472" customFormat="1" hidden="1">
      <c r="A556" s="3911"/>
      <c r="B556" s="3897"/>
      <c r="C556" s="3897"/>
      <c r="D556" s="3898"/>
      <c r="E556" s="3514" t="s">
        <v>3990</v>
      </c>
      <c r="F556" s="3522">
        <v>40.43</v>
      </c>
      <c r="G556" s="3509">
        <v>6.56</v>
      </c>
      <c r="H556" s="3505" t="s">
        <v>3557</v>
      </c>
      <c r="I556" s="3552">
        <f ca="1">典型户型修正车!S442</f>
        <v>9</v>
      </c>
    </row>
    <row r="557" spans="1:9" s="3472" customFormat="1" hidden="1">
      <c r="A557" s="3911"/>
      <c r="B557" s="3897" t="s">
        <v>3769</v>
      </c>
      <c r="C557" s="3897" t="s">
        <v>3770</v>
      </c>
      <c r="D557" s="3898" t="s">
        <v>3771</v>
      </c>
      <c r="E557" s="3507" t="s">
        <v>3991</v>
      </c>
      <c r="F557" s="3522">
        <v>40.43</v>
      </c>
      <c r="G557" s="3509">
        <v>6.56</v>
      </c>
      <c r="H557" s="3505" t="s">
        <v>3557</v>
      </c>
      <c r="I557" s="3552">
        <f ca="1">典型户型修正车!S443</f>
        <v>9</v>
      </c>
    </row>
    <row r="558" spans="1:9" s="3472" customFormat="1" hidden="1">
      <c r="A558" s="3911"/>
      <c r="B558" s="3897"/>
      <c r="C558" s="3897"/>
      <c r="D558" s="3898"/>
      <c r="E558" s="3507" t="s">
        <v>3992</v>
      </c>
      <c r="F558" s="3522">
        <v>40.43</v>
      </c>
      <c r="G558" s="3509">
        <v>6.56</v>
      </c>
      <c r="H558" s="3505" t="s">
        <v>3557</v>
      </c>
      <c r="I558" s="3552">
        <f ca="1">典型户型修正车!S444</f>
        <v>9</v>
      </c>
    </row>
    <row r="559" spans="1:9" s="3472" customFormat="1" hidden="1">
      <c r="A559" s="3911"/>
      <c r="B559" s="3897"/>
      <c r="C559" s="3897"/>
      <c r="D559" s="3898"/>
      <c r="E559" s="3507" t="s">
        <v>3993</v>
      </c>
      <c r="F559" s="3522">
        <v>40.43</v>
      </c>
      <c r="G559" s="3509">
        <v>6.56</v>
      </c>
      <c r="H559" s="3505" t="s">
        <v>3557</v>
      </c>
      <c r="I559" s="3552">
        <f ca="1">典型户型修正车!S445</f>
        <v>9</v>
      </c>
    </row>
    <row r="560" spans="1:9" s="3472" customFormat="1" hidden="1">
      <c r="A560" s="3911"/>
      <c r="B560" s="3897"/>
      <c r="C560" s="3897"/>
      <c r="D560" s="3898"/>
      <c r="E560" s="3507" t="s">
        <v>3994</v>
      </c>
      <c r="F560" s="3522">
        <v>40.43</v>
      </c>
      <c r="G560" s="3509">
        <v>6.56</v>
      </c>
      <c r="H560" s="3505" t="s">
        <v>3557</v>
      </c>
      <c r="I560" s="3552">
        <f ca="1">典型户型修正车!S446</f>
        <v>9</v>
      </c>
    </row>
    <row r="561" spans="1:9" s="3472" customFormat="1" hidden="1">
      <c r="A561" s="3911"/>
      <c r="B561" s="3897"/>
      <c r="C561" s="3897"/>
      <c r="D561" s="3898"/>
      <c r="E561" s="3507" t="s">
        <v>3995</v>
      </c>
      <c r="F561" s="3522">
        <v>40.43</v>
      </c>
      <c r="G561" s="3509">
        <v>6.56</v>
      </c>
      <c r="H561" s="3505" t="s">
        <v>3557</v>
      </c>
      <c r="I561" s="3552">
        <f ca="1">典型户型修正车!S447</f>
        <v>9</v>
      </c>
    </row>
    <row r="562" spans="1:9" s="3472" customFormat="1" hidden="1">
      <c r="A562" s="3911"/>
      <c r="B562" s="3897"/>
      <c r="C562" s="3897"/>
      <c r="D562" s="3898"/>
      <c r="E562" s="3507" t="s">
        <v>3996</v>
      </c>
      <c r="F562" s="3522">
        <v>40.43</v>
      </c>
      <c r="G562" s="3509">
        <v>6.56</v>
      </c>
      <c r="H562" s="3505" t="s">
        <v>3557</v>
      </c>
      <c r="I562" s="3552">
        <f ca="1">典型户型修正车!S448</f>
        <v>9</v>
      </c>
    </row>
    <row r="563" spans="1:9" s="3472" customFormat="1" hidden="1">
      <c r="A563" s="3911"/>
      <c r="B563" s="3897"/>
      <c r="C563" s="3897"/>
      <c r="D563" s="3898"/>
      <c r="E563" s="3507" t="s">
        <v>3997</v>
      </c>
      <c r="F563" s="3522">
        <v>40.43</v>
      </c>
      <c r="G563" s="3509">
        <v>6.56</v>
      </c>
      <c r="H563" s="3505" t="s">
        <v>3557</v>
      </c>
      <c r="I563" s="3552">
        <f ca="1">典型户型修正车!S449</f>
        <v>9</v>
      </c>
    </row>
    <row r="564" spans="1:9" s="3472" customFormat="1" hidden="1">
      <c r="A564" s="3911"/>
      <c r="B564" s="3897"/>
      <c r="C564" s="3897"/>
      <c r="D564" s="3898"/>
      <c r="E564" s="3507" t="s">
        <v>3998</v>
      </c>
      <c r="F564" s="3522">
        <v>40.43</v>
      </c>
      <c r="G564" s="3509">
        <v>6.56</v>
      </c>
      <c r="H564" s="3505" t="s">
        <v>3557</v>
      </c>
      <c r="I564" s="3552">
        <f ca="1">典型户型修正车!S450</f>
        <v>9</v>
      </c>
    </row>
    <row r="565" spans="1:9" s="3472" customFormat="1" hidden="1">
      <c r="A565" s="3911"/>
      <c r="B565" s="3897"/>
      <c r="C565" s="3897"/>
      <c r="D565" s="3898"/>
      <c r="E565" s="3507" t="s">
        <v>3999</v>
      </c>
      <c r="F565" s="3522">
        <v>40.43</v>
      </c>
      <c r="G565" s="3509">
        <v>6.56</v>
      </c>
      <c r="H565" s="3505" t="s">
        <v>3557</v>
      </c>
      <c r="I565" s="3552">
        <f ca="1">典型户型修正车!S451</f>
        <v>9</v>
      </c>
    </row>
    <row r="566" spans="1:9" s="3472" customFormat="1" hidden="1">
      <c r="A566" s="3911"/>
      <c r="B566" s="3897"/>
      <c r="C566" s="3897"/>
      <c r="D566" s="3898"/>
      <c r="E566" s="3507" t="s">
        <v>4000</v>
      </c>
      <c r="F566" s="3522">
        <v>40.43</v>
      </c>
      <c r="G566" s="3509">
        <v>6.56</v>
      </c>
      <c r="H566" s="3505" t="s">
        <v>3557</v>
      </c>
      <c r="I566" s="3552">
        <f ca="1">典型户型修正车!S452</f>
        <v>9</v>
      </c>
    </row>
    <row r="567" spans="1:9" s="3472" customFormat="1" hidden="1">
      <c r="A567" s="3911"/>
      <c r="B567" s="3897"/>
      <c r="C567" s="3897"/>
      <c r="D567" s="3898"/>
      <c r="E567" s="3507" t="s">
        <v>4001</v>
      </c>
      <c r="F567" s="3522">
        <v>40.43</v>
      </c>
      <c r="G567" s="3509">
        <v>6.56</v>
      </c>
      <c r="H567" s="3505" t="s">
        <v>3557</v>
      </c>
      <c r="I567" s="3552">
        <f ca="1">典型户型修正车!S453</f>
        <v>9</v>
      </c>
    </row>
    <row r="568" spans="1:9" s="3472" customFormat="1" hidden="1">
      <c r="A568" s="3911"/>
      <c r="B568" s="3897"/>
      <c r="C568" s="3897"/>
      <c r="D568" s="3898"/>
      <c r="E568" s="3507" t="s">
        <v>4002</v>
      </c>
      <c r="F568" s="3522">
        <v>40.43</v>
      </c>
      <c r="G568" s="3509">
        <v>6.56</v>
      </c>
      <c r="H568" s="3505" t="s">
        <v>3557</v>
      </c>
      <c r="I568" s="3552">
        <f ca="1">典型户型修正车!S454</f>
        <v>9</v>
      </c>
    </row>
    <row r="569" spans="1:9" s="3472" customFormat="1" hidden="1">
      <c r="A569" s="3911"/>
      <c r="B569" s="3897"/>
      <c r="C569" s="3897"/>
      <c r="D569" s="3898"/>
      <c r="E569" s="3507" t="s">
        <v>4003</v>
      </c>
      <c r="F569" s="3522">
        <v>40.43</v>
      </c>
      <c r="G569" s="3509">
        <v>6.56</v>
      </c>
      <c r="H569" s="3505" t="s">
        <v>3557</v>
      </c>
      <c r="I569" s="3552">
        <f ca="1">典型户型修正车!S455</f>
        <v>9</v>
      </c>
    </row>
    <row r="570" spans="1:9" s="3472" customFormat="1" hidden="1">
      <c r="A570" s="3911"/>
      <c r="B570" s="3897"/>
      <c r="C570" s="3897"/>
      <c r="D570" s="3898"/>
      <c r="E570" s="3507" t="s">
        <v>4004</v>
      </c>
      <c r="F570" s="3522">
        <v>40.43</v>
      </c>
      <c r="G570" s="3509">
        <v>6.56</v>
      </c>
      <c r="H570" s="3505" t="s">
        <v>3557</v>
      </c>
      <c r="I570" s="3552">
        <f ca="1">典型户型修正车!S456</f>
        <v>9</v>
      </c>
    </row>
    <row r="571" spans="1:9" s="3472" customFormat="1" hidden="1">
      <c r="A571" s="3911"/>
      <c r="B571" s="3897"/>
      <c r="C571" s="3897"/>
      <c r="D571" s="3898"/>
      <c r="E571" s="3507" t="s">
        <v>4005</v>
      </c>
      <c r="F571" s="3522">
        <v>40.43</v>
      </c>
      <c r="G571" s="3509">
        <v>6.56</v>
      </c>
      <c r="H571" s="3505" t="s">
        <v>3557</v>
      </c>
      <c r="I571" s="3552">
        <f ca="1">典型户型修正车!S457</f>
        <v>9</v>
      </c>
    </row>
    <row r="572" spans="1:9" s="3472" customFormat="1" hidden="1">
      <c r="A572" s="3911"/>
      <c r="B572" s="3897"/>
      <c r="C572" s="3897"/>
      <c r="D572" s="3898"/>
      <c r="E572" s="3507" t="s">
        <v>4006</v>
      </c>
      <c r="F572" s="3522">
        <v>40.43</v>
      </c>
      <c r="G572" s="3509">
        <v>6.56</v>
      </c>
      <c r="H572" s="3505" t="s">
        <v>3557</v>
      </c>
      <c r="I572" s="3552">
        <f ca="1">典型户型修正车!S458</f>
        <v>9</v>
      </c>
    </row>
    <row r="573" spans="1:9" s="3472" customFormat="1" hidden="1">
      <c r="A573" s="3911"/>
      <c r="B573" s="3897"/>
      <c r="C573" s="3897"/>
      <c r="D573" s="3898"/>
      <c r="E573" s="3507" t="s">
        <v>4007</v>
      </c>
      <c r="F573" s="3522">
        <v>40.43</v>
      </c>
      <c r="G573" s="3509">
        <v>6.56</v>
      </c>
      <c r="H573" s="3505" t="s">
        <v>3557</v>
      </c>
      <c r="I573" s="3552">
        <f ca="1">典型户型修正车!S459</f>
        <v>9</v>
      </c>
    </row>
    <row r="574" spans="1:9" s="3472" customFormat="1" hidden="1">
      <c r="A574" s="3911"/>
      <c r="B574" s="3897"/>
      <c r="C574" s="3897"/>
      <c r="D574" s="3898"/>
      <c r="E574" s="3507" t="s">
        <v>4008</v>
      </c>
      <c r="F574" s="3522">
        <v>40.43</v>
      </c>
      <c r="G574" s="3509">
        <v>6.56</v>
      </c>
      <c r="H574" s="3505" t="s">
        <v>3557</v>
      </c>
      <c r="I574" s="3552">
        <f ca="1">典型户型修正车!S460</f>
        <v>9</v>
      </c>
    </row>
    <row r="575" spans="1:9" s="3472" customFormat="1" hidden="1">
      <c r="A575" s="3911"/>
      <c r="B575" s="3897"/>
      <c r="C575" s="3897"/>
      <c r="D575" s="3898"/>
      <c r="E575" s="3507" t="s">
        <v>4009</v>
      </c>
      <c r="F575" s="3522">
        <v>40.43</v>
      </c>
      <c r="G575" s="3509">
        <v>6.56</v>
      </c>
      <c r="H575" s="3505" t="s">
        <v>3557</v>
      </c>
      <c r="I575" s="3552">
        <f ca="1">典型户型修正车!S461</f>
        <v>9</v>
      </c>
    </row>
    <row r="576" spans="1:9" s="3472" customFormat="1" hidden="1">
      <c r="A576" s="3911"/>
      <c r="B576" s="3897"/>
      <c r="C576" s="3897"/>
      <c r="D576" s="3898"/>
      <c r="E576" s="3507" t="s">
        <v>4010</v>
      </c>
      <c r="F576" s="3522">
        <v>40.43</v>
      </c>
      <c r="G576" s="3509">
        <v>6.56</v>
      </c>
      <c r="H576" s="3505" t="s">
        <v>3557</v>
      </c>
      <c r="I576" s="3552">
        <f ca="1">典型户型修正车!S462</f>
        <v>9</v>
      </c>
    </row>
    <row r="577" spans="1:9" s="3472" customFormat="1" hidden="1">
      <c r="A577" s="3911"/>
      <c r="B577" s="3897"/>
      <c r="C577" s="3897"/>
      <c r="D577" s="3898"/>
      <c r="E577" s="3507" t="s">
        <v>4011</v>
      </c>
      <c r="F577" s="3522">
        <v>40.43</v>
      </c>
      <c r="G577" s="3509">
        <v>6.56</v>
      </c>
      <c r="H577" s="3505" t="s">
        <v>3557</v>
      </c>
      <c r="I577" s="3552">
        <f ca="1">典型户型修正车!S463</f>
        <v>9</v>
      </c>
    </row>
    <row r="578" spans="1:9" s="3472" customFormat="1" hidden="1">
      <c r="A578" s="3911"/>
      <c r="B578" s="3897"/>
      <c r="C578" s="3897"/>
      <c r="D578" s="3898"/>
      <c r="E578" s="3507" t="s">
        <v>4012</v>
      </c>
      <c r="F578" s="3522">
        <v>40.43</v>
      </c>
      <c r="G578" s="3509">
        <v>6.56</v>
      </c>
      <c r="H578" s="3505" t="s">
        <v>3557</v>
      </c>
      <c r="I578" s="3552">
        <f ca="1">典型户型修正车!S464</f>
        <v>9</v>
      </c>
    </row>
    <row r="579" spans="1:9" s="3472" customFormat="1" hidden="1">
      <c r="A579" s="3911"/>
      <c r="B579" s="3897"/>
      <c r="C579" s="3897"/>
      <c r="D579" s="3898"/>
      <c r="E579" s="3507" t="s">
        <v>4013</v>
      </c>
      <c r="F579" s="3522">
        <v>40.43</v>
      </c>
      <c r="G579" s="3509">
        <v>6.56</v>
      </c>
      <c r="H579" s="3505" t="s">
        <v>3557</v>
      </c>
      <c r="I579" s="3552">
        <f ca="1">典型户型修正车!S465</f>
        <v>9</v>
      </c>
    </row>
    <row r="580" spans="1:9" s="3472" customFormat="1" hidden="1">
      <c r="A580" s="3911"/>
      <c r="B580" s="3897"/>
      <c r="C580" s="3897"/>
      <c r="D580" s="3898"/>
      <c r="E580" s="3507" t="s">
        <v>4014</v>
      </c>
      <c r="F580" s="3522">
        <v>40.43</v>
      </c>
      <c r="G580" s="3509">
        <v>6.56</v>
      </c>
      <c r="H580" s="3505" t="s">
        <v>3557</v>
      </c>
      <c r="I580" s="3552">
        <f ca="1">典型户型修正车!S466</f>
        <v>9</v>
      </c>
    </row>
    <row r="581" spans="1:9" s="3472" customFormat="1" hidden="1">
      <c r="A581" s="3911"/>
      <c r="B581" s="3897"/>
      <c r="C581" s="3897"/>
      <c r="D581" s="3898"/>
      <c r="E581" s="3507" t="s">
        <v>4015</v>
      </c>
      <c r="F581" s="3522">
        <v>40.43</v>
      </c>
      <c r="G581" s="3509">
        <v>6.56</v>
      </c>
      <c r="H581" s="3505" t="s">
        <v>3557</v>
      </c>
      <c r="I581" s="3552">
        <f ca="1">典型户型修正车!S467</f>
        <v>9</v>
      </c>
    </row>
    <row r="582" spans="1:9" s="3472" customFormat="1" hidden="1">
      <c r="A582" s="3911"/>
      <c r="B582" s="3897"/>
      <c r="C582" s="3897"/>
      <c r="D582" s="3898"/>
      <c r="E582" s="3507" t="s">
        <v>4016</v>
      </c>
      <c r="F582" s="3522">
        <v>40.43</v>
      </c>
      <c r="G582" s="3509">
        <v>6.56</v>
      </c>
      <c r="H582" s="3505" t="s">
        <v>3557</v>
      </c>
      <c r="I582" s="3552">
        <f ca="1">典型户型修正车!S468</f>
        <v>9</v>
      </c>
    </row>
    <row r="583" spans="1:9" s="3472" customFormat="1" hidden="1">
      <c r="A583" s="3911"/>
      <c r="B583" s="3897"/>
      <c r="C583" s="3897"/>
      <c r="D583" s="3898"/>
      <c r="E583" s="3507" t="s">
        <v>4017</v>
      </c>
      <c r="F583" s="3522">
        <v>40.43</v>
      </c>
      <c r="G583" s="3509">
        <v>6.56</v>
      </c>
      <c r="H583" s="3505" t="s">
        <v>3557</v>
      </c>
      <c r="I583" s="3552">
        <f ca="1">典型户型修正车!S469</f>
        <v>9</v>
      </c>
    </row>
    <row r="584" spans="1:9" s="3472" customFormat="1" hidden="1">
      <c r="A584" s="3911"/>
      <c r="B584" s="3897"/>
      <c r="C584" s="3897"/>
      <c r="D584" s="3898"/>
      <c r="E584" s="3507" t="s">
        <v>4018</v>
      </c>
      <c r="F584" s="3522">
        <v>40.43</v>
      </c>
      <c r="G584" s="3509">
        <v>6.56</v>
      </c>
      <c r="H584" s="3505" t="s">
        <v>3557</v>
      </c>
      <c r="I584" s="3552">
        <f ca="1">典型户型修正车!S470</f>
        <v>9</v>
      </c>
    </row>
    <row r="585" spans="1:9" s="3472" customFormat="1" hidden="1">
      <c r="A585" s="3911"/>
      <c r="B585" s="3897"/>
      <c r="C585" s="3897"/>
      <c r="D585" s="3898"/>
      <c r="E585" s="3507" t="s">
        <v>4019</v>
      </c>
      <c r="F585" s="3522">
        <v>40.43</v>
      </c>
      <c r="G585" s="3509">
        <v>6.56</v>
      </c>
      <c r="H585" s="3505" t="s">
        <v>3557</v>
      </c>
      <c r="I585" s="3552">
        <f ca="1">典型户型修正车!S471</f>
        <v>9</v>
      </c>
    </row>
    <row r="586" spans="1:9" s="3472" customFormat="1" hidden="1">
      <c r="A586" s="3911"/>
      <c r="B586" s="3897"/>
      <c r="C586" s="3897"/>
      <c r="D586" s="3898"/>
      <c r="E586" s="3507" t="s">
        <v>4020</v>
      </c>
      <c r="F586" s="3522">
        <v>40.43</v>
      </c>
      <c r="G586" s="3509">
        <v>6.56</v>
      </c>
      <c r="H586" s="3505" t="s">
        <v>3557</v>
      </c>
      <c r="I586" s="3552">
        <f ca="1">典型户型修正车!S472</f>
        <v>9</v>
      </c>
    </row>
    <row r="587" spans="1:9" s="3472" customFormat="1" hidden="1">
      <c r="A587" s="3911"/>
      <c r="B587" s="3897"/>
      <c r="C587" s="3897"/>
      <c r="D587" s="3898"/>
      <c r="E587" s="3507" t="s">
        <v>4021</v>
      </c>
      <c r="F587" s="3522">
        <v>40.43</v>
      </c>
      <c r="G587" s="3509">
        <v>6.56</v>
      </c>
      <c r="H587" s="3505" t="s">
        <v>3557</v>
      </c>
      <c r="I587" s="3552">
        <f ca="1">典型户型修正车!S473</f>
        <v>9</v>
      </c>
    </row>
    <row r="588" spans="1:9" s="3472" customFormat="1" hidden="1">
      <c r="A588" s="3911"/>
      <c r="B588" s="3897"/>
      <c r="C588" s="3897"/>
      <c r="D588" s="3898"/>
      <c r="E588" s="3507" t="s">
        <v>4022</v>
      </c>
      <c r="F588" s="3522">
        <v>40.43</v>
      </c>
      <c r="G588" s="3509">
        <v>6.56</v>
      </c>
      <c r="H588" s="3505" t="s">
        <v>3557</v>
      </c>
      <c r="I588" s="3552">
        <f ca="1">典型户型修正车!S474</f>
        <v>9</v>
      </c>
    </row>
    <row r="589" spans="1:9" s="3472" customFormat="1" hidden="1">
      <c r="A589" s="3911"/>
      <c r="B589" s="3897"/>
      <c r="C589" s="3897"/>
      <c r="D589" s="3898"/>
      <c r="E589" s="3507" t="s">
        <v>4023</v>
      </c>
      <c r="F589" s="3522">
        <v>40.43</v>
      </c>
      <c r="G589" s="3509">
        <v>6.56</v>
      </c>
      <c r="H589" s="3505" t="s">
        <v>3557</v>
      </c>
      <c r="I589" s="3552">
        <f ca="1">典型户型修正车!S475</f>
        <v>9</v>
      </c>
    </row>
    <row r="590" spans="1:9" s="3472" customFormat="1" hidden="1">
      <c r="A590" s="3911"/>
      <c r="B590" s="3897"/>
      <c r="C590" s="3897"/>
      <c r="D590" s="3898"/>
      <c r="E590" s="3507" t="s">
        <v>4024</v>
      </c>
      <c r="F590" s="3522">
        <v>40.43</v>
      </c>
      <c r="G590" s="3509">
        <v>6.56</v>
      </c>
      <c r="H590" s="3505" t="s">
        <v>3557</v>
      </c>
      <c r="I590" s="3552">
        <f ca="1">典型户型修正车!S476</f>
        <v>9</v>
      </c>
    </row>
    <row r="591" spans="1:9" s="3472" customFormat="1" hidden="1">
      <c r="A591" s="3911"/>
      <c r="B591" s="3897"/>
      <c r="C591" s="3897"/>
      <c r="D591" s="3898"/>
      <c r="E591" s="3507" t="s">
        <v>4025</v>
      </c>
      <c r="F591" s="3522">
        <v>40.43</v>
      </c>
      <c r="G591" s="3509">
        <v>6.56</v>
      </c>
      <c r="H591" s="3505" t="s">
        <v>3557</v>
      </c>
      <c r="I591" s="3552">
        <f ca="1">典型户型修正车!S477</f>
        <v>9</v>
      </c>
    </row>
    <row r="592" spans="1:9" s="3472" customFormat="1" hidden="1">
      <c r="A592" s="3911"/>
      <c r="B592" s="3897"/>
      <c r="C592" s="3897"/>
      <c r="D592" s="3898"/>
      <c r="E592" s="3507" t="s">
        <v>4026</v>
      </c>
      <c r="F592" s="3522">
        <v>40.43</v>
      </c>
      <c r="G592" s="3509">
        <v>6.56</v>
      </c>
      <c r="H592" s="3505" t="s">
        <v>3557</v>
      </c>
      <c r="I592" s="3552">
        <f ca="1">典型户型修正车!S478</f>
        <v>9</v>
      </c>
    </row>
    <row r="593" spans="1:9" s="3472" customFormat="1" hidden="1">
      <c r="A593" s="3911"/>
      <c r="B593" s="3897"/>
      <c r="C593" s="3897"/>
      <c r="D593" s="3898"/>
      <c r="E593" s="3507" t="s">
        <v>4027</v>
      </c>
      <c r="F593" s="3522">
        <v>40.43</v>
      </c>
      <c r="G593" s="3509">
        <v>6.56</v>
      </c>
      <c r="H593" s="3505" t="s">
        <v>3557</v>
      </c>
      <c r="I593" s="3552">
        <f ca="1">典型户型修正车!S479</f>
        <v>9</v>
      </c>
    </row>
    <row r="594" spans="1:9" s="3472" customFormat="1" hidden="1">
      <c r="A594" s="3911"/>
      <c r="B594" s="3897" t="s">
        <v>3769</v>
      </c>
      <c r="C594" s="3897" t="s">
        <v>3770</v>
      </c>
      <c r="D594" s="3898" t="s">
        <v>3771</v>
      </c>
      <c r="E594" s="3507" t="s">
        <v>4028</v>
      </c>
      <c r="F594" s="3522">
        <v>40.43</v>
      </c>
      <c r="G594" s="3509">
        <v>6.56</v>
      </c>
      <c r="H594" s="3505" t="s">
        <v>3557</v>
      </c>
      <c r="I594" s="3552">
        <f ca="1">典型户型修正车!S480</f>
        <v>9</v>
      </c>
    </row>
    <row r="595" spans="1:9" s="3472" customFormat="1" hidden="1">
      <c r="A595" s="3911"/>
      <c r="B595" s="3897"/>
      <c r="C595" s="3897"/>
      <c r="D595" s="3898"/>
      <c r="E595" s="3507" t="s">
        <v>4029</v>
      </c>
      <c r="F595" s="3522">
        <v>40.43</v>
      </c>
      <c r="G595" s="3509">
        <v>6.56</v>
      </c>
      <c r="H595" s="3505" t="s">
        <v>3557</v>
      </c>
      <c r="I595" s="3552">
        <f ca="1">典型户型修正车!S481</f>
        <v>9</v>
      </c>
    </row>
    <row r="596" spans="1:9" s="3472" customFormat="1" hidden="1">
      <c r="A596" s="3911"/>
      <c r="B596" s="3897"/>
      <c r="C596" s="3897"/>
      <c r="D596" s="3898"/>
      <c r="E596" s="3507" t="s">
        <v>4030</v>
      </c>
      <c r="F596" s="3522">
        <v>40.43</v>
      </c>
      <c r="G596" s="3509">
        <v>6.56</v>
      </c>
      <c r="H596" s="3505" t="s">
        <v>3557</v>
      </c>
      <c r="I596" s="3552">
        <f ca="1">典型户型修正车!S482</f>
        <v>9</v>
      </c>
    </row>
    <row r="597" spans="1:9" s="3472" customFormat="1" hidden="1">
      <c r="A597" s="3911"/>
      <c r="B597" s="3897"/>
      <c r="C597" s="3897"/>
      <c r="D597" s="3898"/>
      <c r="E597" s="3507" t="s">
        <v>4031</v>
      </c>
      <c r="F597" s="3522">
        <v>40.43</v>
      </c>
      <c r="G597" s="3509">
        <v>6.56</v>
      </c>
      <c r="H597" s="3505" t="s">
        <v>3557</v>
      </c>
      <c r="I597" s="3552">
        <f ca="1">典型户型修正车!S483</f>
        <v>9</v>
      </c>
    </row>
    <row r="598" spans="1:9" s="3472" customFormat="1" hidden="1">
      <c r="A598" s="3911"/>
      <c r="B598" s="3897"/>
      <c r="C598" s="3897"/>
      <c r="D598" s="3898"/>
      <c r="E598" s="3507" t="s">
        <v>4032</v>
      </c>
      <c r="F598" s="3522">
        <v>40.43</v>
      </c>
      <c r="G598" s="3509">
        <v>6.56</v>
      </c>
      <c r="H598" s="3505" t="s">
        <v>3557</v>
      </c>
      <c r="I598" s="3552">
        <f ca="1">典型户型修正车!S484</f>
        <v>9</v>
      </c>
    </row>
    <row r="599" spans="1:9" s="3472" customFormat="1" hidden="1">
      <c r="A599" s="3911"/>
      <c r="B599" s="3897"/>
      <c r="C599" s="3897"/>
      <c r="D599" s="3898"/>
      <c r="E599" s="3507" t="s">
        <v>4033</v>
      </c>
      <c r="F599" s="3522">
        <v>40.43</v>
      </c>
      <c r="G599" s="3509">
        <v>6.56</v>
      </c>
      <c r="H599" s="3505" t="s">
        <v>3557</v>
      </c>
      <c r="I599" s="3552">
        <f ca="1">典型户型修正车!S485</f>
        <v>9</v>
      </c>
    </row>
    <row r="600" spans="1:9" s="3472" customFormat="1" hidden="1">
      <c r="A600" s="3911"/>
      <c r="B600" s="3897"/>
      <c r="C600" s="3897"/>
      <c r="D600" s="3898"/>
      <c r="E600" s="3507" t="s">
        <v>4034</v>
      </c>
      <c r="F600" s="3522">
        <v>40.43</v>
      </c>
      <c r="G600" s="3509">
        <v>6.56</v>
      </c>
      <c r="H600" s="3505" t="s">
        <v>3557</v>
      </c>
      <c r="I600" s="3552">
        <f ca="1">典型户型修正车!S486</f>
        <v>9</v>
      </c>
    </row>
    <row r="601" spans="1:9" s="3472" customFormat="1" hidden="1">
      <c r="A601" s="3911"/>
      <c r="B601" s="3897"/>
      <c r="C601" s="3897"/>
      <c r="D601" s="3898"/>
      <c r="E601" s="3507" t="s">
        <v>4035</v>
      </c>
      <c r="F601" s="3522">
        <v>40.43</v>
      </c>
      <c r="G601" s="3509">
        <v>6.56</v>
      </c>
      <c r="H601" s="3505" t="s">
        <v>3557</v>
      </c>
      <c r="I601" s="3552">
        <f ca="1">典型户型修正车!S487</f>
        <v>9</v>
      </c>
    </row>
    <row r="602" spans="1:9" s="3472" customFormat="1" hidden="1">
      <c r="A602" s="3911"/>
      <c r="B602" s="3897"/>
      <c r="C602" s="3897"/>
      <c r="D602" s="3898"/>
      <c r="E602" s="3507" t="s">
        <v>4036</v>
      </c>
      <c r="F602" s="3522">
        <v>40.43</v>
      </c>
      <c r="G602" s="3509">
        <v>6.56</v>
      </c>
      <c r="H602" s="3505" t="s">
        <v>3557</v>
      </c>
      <c r="I602" s="3552">
        <f ca="1">典型户型修正车!S488</f>
        <v>9</v>
      </c>
    </row>
    <row r="603" spans="1:9" s="3472" customFormat="1" hidden="1">
      <c r="A603" s="3911"/>
      <c r="B603" s="3897"/>
      <c r="C603" s="3897"/>
      <c r="D603" s="3898"/>
      <c r="E603" s="3507" t="s">
        <v>4037</v>
      </c>
      <c r="F603" s="3522">
        <v>40.43</v>
      </c>
      <c r="G603" s="3509">
        <v>6.56</v>
      </c>
      <c r="H603" s="3505" t="s">
        <v>3557</v>
      </c>
      <c r="I603" s="3552">
        <f ca="1">典型户型修正车!S489</f>
        <v>9</v>
      </c>
    </row>
    <row r="604" spans="1:9" s="3472" customFormat="1" hidden="1">
      <c r="A604" s="3911"/>
      <c r="B604" s="3897"/>
      <c r="C604" s="3897"/>
      <c r="D604" s="3898"/>
      <c r="E604" s="3507" t="s">
        <v>4038</v>
      </c>
      <c r="F604" s="3522">
        <v>40.43</v>
      </c>
      <c r="G604" s="3509">
        <v>6.56</v>
      </c>
      <c r="H604" s="3505" t="s">
        <v>3557</v>
      </c>
      <c r="I604" s="3552">
        <f ca="1">典型户型修正车!S490</f>
        <v>9</v>
      </c>
    </row>
    <row r="605" spans="1:9" s="3472" customFormat="1" hidden="1">
      <c r="A605" s="3911"/>
      <c r="B605" s="3897"/>
      <c r="C605" s="3897"/>
      <c r="D605" s="3898"/>
      <c r="E605" s="3507" t="s">
        <v>4039</v>
      </c>
      <c r="F605" s="3522">
        <v>40.43</v>
      </c>
      <c r="G605" s="3509">
        <v>6.56</v>
      </c>
      <c r="H605" s="3505" t="s">
        <v>3557</v>
      </c>
      <c r="I605" s="3552">
        <f ca="1">典型户型修正车!S491</f>
        <v>9</v>
      </c>
    </row>
    <row r="606" spans="1:9" s="3472" customFormat="1" hidden="1">
      <c r="A606" s="3911"/>
      <c r="B606" s="3897"/>
      <c r="C606" s="3897"/>
      <c r="D606" s="3898"/>
      <c r="E606" s="3507" t="s">
        <v>4040</v>
      </c>
      <c r="F606" s="3522">
        <v>40.43</v>
      </c>
      <c r="G606" s="3509">
        <v>6.56</v>
      </c>
      <c r="H606" s="3505" t="s">
        <v>3557</v>
      </c>
      <c r="I606" s="3552">
        <f ca="1">典型户型修正车!S492</f>
        <v>9</v>
      </c>
    </row>
    <row r="607" spans="1:9" s="3472" customFormat="1" hidden="1">
      <c r="A607" s="3911"/>
      <c r="B607" s="3897"/>
      <c r="C607" s="3897"/>
      <c r="D607" s="3898"/>
      <c r="E607" s="3507" t="s">
        <v>4041</v>
      </c>
      <c r="F607" s="3522">
        <v>40.43</v>
      </c>
      <c r="G607" s="3509">
        <v>6.56</v>
      </c>
      <c r="H607" s="3505" t="s">
        <v>3557</v>
      </c>
      <c r="I607" s="3552">
        <f ca="1">典型户型修正车!S493</f>
        <v>9</v>
      </c>
    </row>
    <row r="608" spans="1:9" s="3472" customFormat="1" hidden="1">
      <c r="A608" s="3911"/>
      <c r="B608" s="3897"/>
      <c r="C608" s="3897"/>
      <c r="D608" s="3898"/>
      <c r="E608" s="3507" t="s">
        <v>4042</v>
      </c>
      <c r="F608" s="3522">
        <v>40.43</v>
      </c>
      <c r="G608" s="3509">
        <v>6.56</v>
      </c>
      <c r="H608" s="3505" t="s">
        <v>3557</v>
      </c>
      <c r="I608" s="3552">
        <f ca="1">典型户型修正车!S494</f>
        <v>9</v>
      </c>
    </row>
    <row r="609" spans="1:9" s="3472" customFormat="1" hidden="1">
      <c r="A609" s="3911"/>
      <c r="B609" s="3897"/>
      <c r="C609" s="3897"/>
      <c r="D609" s="3898"/>
      <c r="E609" s="3507" t="s">
        <v>4043</v>
      </c>
      <c r="F609" s="3522">
        <v>40.43</v>
      </c>
      <c r="G609" s="3509">
        <v>6.56</v>
      </c>
      <c r="H609" s="3505" t="s">
        <v>3557</v>
      </c>
      <c r="I609" s="3552">
        <f ca="1">典型户型修正车!S495</f>
        <v>9</v>
      </c>
    </row>
    <row r="610" spans="1:9" s="3472" customFormat="1" hidden="1">
      <c r="A610" s="3911"/>
      <c r="B610" s="3897"/>
      <c r="C610" s="3897"/>
      <c r="D610" s="3898"/>
      <c r="E610" s="3507" t="s">
        <v>4044</v>
      </c>
      <c r="F610" s="3522">
        <v>40.43</v>
      </c>
      <c r="G610" s="3509">
        <v>6.56</v>
      </c>
      <c r="H610" s="3505" t="s">
        <v>3557</v>
      </c>
      <c r="I610" s="3552">
        <f ca="1">典型户型修正车!S496</f>
        <v>9</v>
      </c>
    </row>
    <row r="611" spans="1:9" s="3472" customFormat="1" hidden="1">
      <c r="A611" s="3911"/>
      <c r="B611" s="3897"/>
      <c r="C611" s="3897"/>
      <c r="D611" s="3898"/>
      <c r="E611" s="3507" t="s">
        <v>4045</v>
      </c>
      <c r="F611" s="3522">
        <v>40.43</v>
      </c>
      <c r="G611" s="3509">
        <v>6.56</v>
      </c>
      <c r="H611" s="3505" t="s">
        <v>3557</v>
      </c>
      <c r="I611" s="3552">
        <f ca="1">典型户型修正车!S497</f>
        <v>9</v>
      </c>
    </row>
    <row r="612" spans="1:9" s="3472" customFormat="1" hidden="1">
      <c r="A612" s="3911"/>
      <c r="B612" s="3897"/>
      <c r="C612" s="3897"/>
      <c r="D612" s="3898"/>
      <c r="E612" s="3507" t="s">
        <v>4046</v>
      </c>
      <c r="F612" s="3522">
        <v>40.43</v>
      </c>
      <c r="G612" s="3509">
        <v>6.56</v>
      </c>
      <c r="H612" s="3505" t="s">
        <v>3557</v>
      </c>
      <c r="I612" s="3552">
        <f ca="1">典型户型修正车!S498</f>
        <v>9</v>
      </c>
    </row>
    <row r="613" spans="1:9" s="3472" customFormat="1" hidden="1">
      <c r="A613" s="3911"/>
      <c r="B613" s="3897"/>
      <c r="C613" s="3897"/>
      <c r="D613" s="3898"/>
      <c r="E613" s="3507" t="s">
        <v>4047</v>
      </c>
      <c r="F613" s="3522">
        <v>40.43</v>
      </c>
      <c r="G613" s="3509">
        <v>6.56</v>
      </c>
      <c r="H613" s="3505" t="s">
        <v>3557</v>
      </c>
      <c r="I613" s="3552">
        <f ca="1">典型户型修正车!S499</f>
        <v>9</v>
      </c>
    </row>
    <row r="614" spans="1:9" s="3472" customFormat="1" hidden="1">
      <c r="A614" s="3911"/>
      <c r="B614" s="3897"/>
      <c r="C614" s="3897"/>
      <c r="D614" s="3898"/>
      <c r="E614" s="3507" t="s">
        <v>4048</v>
      </c>
      <c r="F614" s="3522">
        <v>40.43</v>
      </c>
      <c r="G614" s="3509">
        <v>6.56</v>
      </c>
      <c r="H614" s="3505" t="s">
        <v>3557</v>
      </c>
      <c r="I614" s="3552">
        <f ca="1">典型户型修正车!S500</f>
        <v>9</v>
      </c>
    </row>
    <row r="615" spans="1:9" s="3472" customFormat="1" hidden="1">
      <c r="A615" s="3911"/>
      <c r="B615" s="3897"/>
      <c r="C615" s="3897"/>
      <c r="D615" s="3898"/>
      <c r="E615" s="3507" t="s">
        <v>4049</v>
      </c>
      <c r="F615" s="3522">
        <v>40.43</v>
      </c>
      <c r="G615" s="3509">
        <v>6.56</v>
      </c>
      <c r="H615" s="3505" t="s">
        <v>3557</v>
      </c>
      <c r="I615" s="3552">
        <f ca="1">典型户型修正车!S501</f>
        <v>9</v>
      </c>
    </row>
    <row r="616" spans="1:9" s="3472" customFormat="1" hidden="1">
      <c r="A616" s="3911"/>
      <c r="B616" s="3897"/>
      <c r="C616" s="3897"/>
      <c r="D616" s="3898"/>
      <c r="E616" s="3507" t="s">
        <v>4050</v>
      </c>
      <c r="F616" s="3522">
        <v>40.43</v>
      </c>
      <c r="G616" s="3509">
        <v>6.56</v>
      </c>
      <c r="H616" s="3505" t="s">
        <v>3557</v>
      </c>
      <c r="I616" s="3552">
        <f ca="1">典型户型修正车!S502</f>
        <v>9</v>
      </c>
    </row>
    <row r="617" spans="1:9" s="3472" customFormat="1" hidden="1">
      <c r="A617" s="3911"/>
      <c r="B617" s="3897"/>
      <c r="C617" s="3897"/>
      <c r="D617" s="3898"/>
      <c r="E617" s="3507" t="s">
        <v>4051</v>
      </c>
      <c r="F617" s="3522">
        <v>40.43</v>
      </c>
      <c r="G617" s="3509">
        <v>6.56</v>
      </c>
      <c r="H617" s="3505" t="s">
        <v>3557</v>
      </c>
      <c r="I617" s="3552">
        <f ca="1">典型户型修正车!S503</f>
        <v>9</v>
      </c>
    </row>
    <row r="618" spans="1:9" s="3472" customFormat="1" hidden="1">
      <c r="A618" s="3911"/>
      <c r="B618" s="3897"/>
      <c r="C618" s="3897"/>
      <c r="D618" s="3898"/>
      <c r="E618" s="3507" t="s">
        <v>4052</v>
      </c>
      <c r="F618" s="3522">
        <v>40.43</v>
      </c>
      <c r="G618" s="3509">
        <v>6.56</v>
      </c>
      <c r="H618" s="3505" t="s">
        <v>3557</v>
      </c>
      <c r="I618" s="3552">
        <f ca="1">典型户型修正车!S504</f>
        <v>9</v>
      </c>
    </row>
    <row r="619" spans="1:9" s="3472" customFormat="1" hidden="1">
      <c r="A619" s="3911"/>
      <c r="B619" s="3897"/>
      <c r="C619" s="3897"/>
      <c r="D619" s="3898"/>
      <c r="E619" s="3507" t="s">
        <v>4053</v>
      </c>
      <c r="F619" s="3522">
        <v>40.43</v>
      </c>
      <c r="G619" s="3509">
        <v>6.56</v>
      </c>
      <c r="H619" s="3505" t="s">
        <v>3557</v>
      </c>
      <c r="I619" s="3552">
        <f ca="1">典型户型修正车!S505</f>
        <v>9</v>
      </c>
    </row>
    <row r="620" spans="1:9" s="3472" customFormat="1" hidden="1">
      <c r="A620" s="3911"/>
      <c r="B620" s="3897"/>
      <c r="C620" s="3897"/>
      <c r="D620" s="3898"/>
      <c r="E620" s="3507" t="s">
        <v>4054</v>
      </c>
      <c r="F620" s="3522">
        <v>40.43</v>
      </c>
      <c r="G620" s="3509">
        <v>6.56</v>
      </c>
      <c r="H620" s="3505" t="s">
        <v>3557</v>
      </c>
      <c r="I620" s="3552">
        <f ca="1">典型户型修正车!S506</f>
        <v>9</v>
      </c>
    </row>
    <row r="621" spans="1:9" s="3472" customFormat="1" hidden="1">
      <c r="A621" s="3911"/>
      <c r="B621" s="3897"/>
      <c r="C621" s="3897"/>
      <c r="D621" s="3898"/>
      <c r="E621" s="3507" t="s">
        <v>4055</v>
      </c>
      <c r="F621" s="3522">
        <v>40.43</v>
      </c>
      <c r="G621" s="3509">
        <v>6.56</v>
      </c>
      <c r="H621" s="3505" t="s">
        <v>3557</v>
      </c>
      <c r="I621" s="3552">
        <f ca="1">典型户型修正车!S507</f>
        <v>9</v>
      </c>
    </row>
    <row r="622" spans="1:9" s="3472" customFormat="1" hidden="1">
      <c r="A622" s="3911"/>
      <c r="B622" s="3897"/>
      <c r="C622" s="3897"/>
      <c r="D622" s="3898"/>
      <c r="E622" s="3507" t="s">
        <v>4056</v>
      </c>
      <c r="F622" s="3522">
        <v>40.43</v>
      </c>
      <c r="G622" s="3509">
        <v>6.56</v>
      </c>
      <c r="H622" s="3505" t="s">
        <v>3557</v>
      </c>
      <c r="I622" s="3552">
        <f ca="1">典型户型修正车!S508</f>
        <v>9</v>
      </c>
    </row>
    <row r="623" spans="1:9" s="3472" customFormat="1" hidden="1">
      <c r="A623" s="3911"/>
      <c r="B623" s="3897"/>
      <c r="C623" s="3897"/>
      <c r="D623" s="3898"/>
      <c r="E623" s="3507" t="s">
        <v>4057</v>
      </c>
      <c r="F623" s="3522">
        <v>40.43</v>
      </c>
      <c r="G623" s="3509">
        <v>6.56</v>
      </c>
      <c r="H623" s="3505" t="s">
        <v>3557</v>
      </c>
      <c r="I623" s="3552">
        <f ca="1">典型户型修正车!S509</f>
        <v>9</v>
      </c>
    </row>
    <row r="624" spans="1:9" s="3472" customFormat="1" hidden="1">
      <c r="A624" s="3911"/>
      <c r="B624" s="3897"/>
      <c r="C624" s="3897"/>
      <c r="D624" s="3898"/>
      <c r="E624" s="3507" t="s">
        <v>4058</v>
      </c>
      <c r="F624" s="3522">
        <v>40.43</v>
      </c>
      <c r="G624" s="3509">
        <v>6.56</v>
      </c>
      <c r="H624" s="3505" t="s">
        <v>3557</v>
      </c>
      <c r="I624" s="3552">
        <f ca="1">典型户型修正车!S510</f>
        <v>9</v>
      </c>
    </row>
    <row r="625" spans="1:9" s="3472" customFormat="1" hidden="1">
      <c r="A625" s="3911"/>
      <c r="B625" s="3897"/>
      <c r="C625" s="3897"/>
      <c r="D625" s="3898"/>
      <c r="E625" s="3507" t="s">
        <v>4059</v>
      </c>
      <c r="F625" s="3522">
        <v>40.43</v>
      </c>
      <c r="G625" s="3509">
        <v>6.56</v>
      </c>
      <c r="H625" s="3505" t="s">
        <v>3557</v>
      </c>
      <c r="I625" s="3552">
        <f ca="1">典型户型修正车!S511</f>
        <v>9</v>
      </c>
    </row>
    <row r="626" spans="1:9" s="3472" customFormat="1" hidden="1">
      <c r="A626" s="3911"/>
      <c r="B626" s="3897"/>
      <c r="C626" s="3897"/>
      <c r="D626" s="3898"/>
      <c r="E626" s="3507" t="s">
        <v>4060</v>
      </c>
      <c r="F626" s="3522">
        <v>40.43</v>
      </c>
      <c r="G626" s="3509">
        <v>6.56</v>
      </c>
      <c r="H626" s="3505" t="s">
        <v>3557</v>
      </c>
      <c r="I626" s="3552">
        <f ca="1">典型户型修正车!S512</f>
        <v>9</v>
      </c>
    </row>
    <row r="627" spans="1:9" s="3472" customFormat="1" hidden="1">
      <c r="A627" s="3911"/>
      <c r="B627" s="3897"/>
      <c r="C627" s="3897"/>
      <c r="D627" s="3898"/>
      <c r="E627" s="3507" t="s">
        <v>4061</v>
      </c>
      <c r="F627" s="3522">
        <v>40.43</v>
      </c>
      <c r="G627" s="3509">
        <v>6.56</v>
      </c>
      <c r="H627" s="3505" t="s">
        <v>3557</v>
      </c>
      <c r="I627" s="3552">
        <f ca="1">典型户型修正车!S513</f>
        <v>9</v>
      </c>
    </row>
    <row r="628" spans="1:9" s="3472" customFormat="1" hidden="1">
      <c r="A628" s="3911"/>
      <c r="B628" s="3897"/>
      <c r="C628" s="3897"/>
      <c r="D628" s="3898"/>
      <c r="E628" s="3507" t="s">
        <v>4062</v>
      </c>
      <c r="F628" s="3522">
        <v>40.43</v>
      </c>
      <c r="G628" s="3509">
        <v>6.56</v>
      </c>
      <c r="H628" s="3505" t="s">
        <v>3557</v>
      </c>
      <c r="I628" s="3552">
        <f ca="1">典型户型修正车!S514</f>
        <v>9</v>
      </c>
    </row>
    <row r="629" spans="1:9" s="3472" customFormat="1" hidden="1">
      <c r="A629" s="3911"/>
      <c r="B629" s="3897"/>
      <c r="C629" s="3897"/>
      <c r="D629" s="3898"/>
      <c r="E629" s="3507" t="s">
        <v>4063</v>
      </c>
      <c r="F629" s="3522">
        <v>40.43</v>
      </c>
      <c r="G629" s="3509">
        <v>6.56</v>
      </c>
      <c r="H629" s="3505" t="s">
        <v>3557</v>
      </c>
      <c r="I629" s="3552">
        <f ca="1">典型户型修正车!S515</f>
        <v>9</v>
      </c>
    </row>
    <row r="630" spans="1:9" s="3472" customFormat="1" hidden="1">
      <c r="A630" s="3911"/>
      <c r="B630" s="3897"/>
      <c r="C630" s="3897"/>
      <c r="D630" s="3898"/>
      <c r="E630" s="3507" t="s">
        <v>4064</v>
      </c>
      <c r="F630" s="3522">
        <v>40.43</v>
      </c>
      <c r="G630" s="3509">
        <v>6.56</v>
      </c>
      <c r="H630" s="3505" t="s">
        <v>3557</v>
      </c>
      <c r="I630" s="3552">
        <f ca="1">典型户型修正车!S516</f>
        <v>9</v>
      </c>
    </row>
    <row r="631" spans="1:9" s="3472" customFormat="1" hidden="1">
      <c r="A631" s="3911"/>
      <c r="B631" s="3897" t="s">
        <v>3769</v>
      </c>
      <c r="C631" s="3897" t="s">
        <v>3770</v>
      </c>
      <c r="D631" s="3898" t="s">
        <v>3771</v>
      </c>
      <c r="E631" s="3507" t="s">
        <v>4065</v>
      </c>
      <c r="F631" s="3522">
        <v>40.43</v>
      </c>
      <c r="G631" s="3509">
        <v>6.56</v>
      </c>
      <c r="H631" s="3505" t="s">
        <v>3557</v>
      </c>
      <c r="I631" s="3552">
        <f ca="1">典型户型修正车!S517</f>
        <v>9</v>
      </c>
    </row>
    <row r="632" spans="1:9" s="3472" customFormat="1" hidden="1">
      <c r="A632" s="3911"/>
      <c r="B632" s="3897"/>
      <c r="C632" s="3897"/>
      <c r="D632" s="3898"/>
      <c r="E632" s="3507" t="s">
        <v>4066</v>
      </c>
      <c r="F632" s="3522">
        <v>40.43</v>
      </c>
      <c r="G632" s="3509">
        <v>6.56</v>
      </c>
      <c r="H632" s="3505" t="s">
        <v>3557</v>
      </c>
      <c r="I632" s="3552">
        <f ca="1">典型户型修正车!S518</f>
        <v>9</v>
      </c>
    </row>
    <row r="633" spans="1:9" s="3472" customFormat="1" hidden="1">
      <c r="A633" s="3911"/>
      <c r="B633" s="3897"/>
      <c r="C633" s="3897"/>
      <c r="D633" s="3898"/>
      <c r="E633" s="3507" t="s">
        <v>4067</v>
      </c>
      <c r="F633" s="3522">
        <v>40.43</v>
      </c>
      <c r="G633" s="3509">
        <v>6.56</v>
      </c>
      <c r="H633" s="3505" t="s">
        <v>3557</v>
      </c>
      <c r="I633" s="3552">
        <f ca="1">典型户型修正车!S519</f>
        <v>9</v>
      </c>
    </row>
    <row r="634" spans="1:9" s="3472" customFormat="1" hidden="1">
      <c r="A634" s="3911"/>
      <c r="B634" s="3897"/>
      <c r="C634" s="3897"/>
      <c r="D634" s="3898"/>
      <c r="E634" s="3507" t="s">
        <v>4068</v>
      </c>
      <c r="F634" s="3522">
        <v>40.43</v>
      </c>
      <c r="G634" s="3509">
        <v>6.56</v>
      </c>
      <c r="H634" s="3505" t="s">
        <v>3557</v>
      </c>
      <c r="I634" s="3552">
        <f ca="1">典型户型修正车!S520</f>
        <v>9</v>
      </c>
    </row>
    <row r="635" spans="1:9" s="3472" customFormat="1" hidden="1">
      <c r="A635" s="3911"/>
      <c r="B635" s="3897"/>
      <c r="C635" s="3897"/>
      <c r="D635" s="3898"/>
      <c r="E635" s="3507" t="s">
        <v>4069</v>
      </c>
      <c r="F635" s="3522">
        <v>40.43</v>
      </c>
      <c r="G635" s="3509">
        <v>6.56</v>
      </c>
      <c r="H635" s="3505" t="s">
        <v>3557</v>
      </c>
      <c r="I635" s="3552">
        <f ca="1">典型户型修正车!S521</f>
        <v>9</v>
      </c>
    </row>
    <row r="636" spans="1:9" s="3472" customFormat="1" hidden="1">
      <c r="A636" s="3911"/>
      <c r="B636" s="3897"/>
      <c r="C636" s="3897"/>
      <c r="D636" s="3898"/>
      <c r="E636" s="3507" t="s">
        <v>4070</v>
      </c>
      <c r="F636" s="3522">
        <v>40.43</v>
      </c>
      <c r="G636" s="3509">
        <v>6.56</v>
      </c>
      <c r="H636" s="3505" t="s">
        <v>3557</v>
      </c>
      <c r="I636" s="3552">
        <f ca="1">典型户型修正车!S522</f>
        <v>9</v>
      </c>
    </row>
    <row r="637" spans="1:9" s="3472" customFormat="1" hidden="1">
      <c r="A637" s="3911"/>
      <c r="B637" s="3897"/>
      <c r="C637" s="3897"/>
      <c r="D637" s="3898"/>
      <c r="E637" s="3507" t="s">
        <v>4071</v>
      </c>
      <c r="F637" s="3522">
        <v>40.43</v>
      </c>
      <c r="G637" s="3509">
        <v>6.56</v>
      </c>
      <c r="H637" s="3505" t="s">
        <v>3557</v>
      </c>
      <c r="I637" s="3552">
        <f ca="1">典型户型修正车!S523</f>
        <v>9</v>
      </c>
    </row>
    <row r="638" spans="1:9" s="3472" customFormat="1" hidden="1">
      <c r="A638" s="3911"/>
      <c r="B638" s="3897"/>
      <c r="C638" s="3897"/>
      <c r="D638" s="3898"/>
      <c r="E638" s="3507" t="s">
        <v>4072</v>
      </c>
      <c r="F638" s="3522">
        <v>40.43</v>
      </c>
      <c r="G638" s="3509">
        <v>6.56</v>
      </c>
      <c r="H638" s="3505" t="s">
        <v>3557</v>
      </c>
      <c r="I638" s="3552">
        <f ca="1">典型户型修正车!S524</f>
        <v>9</v>
      </c>
    </row>
    <row r="639" spans="1:9" s="3472" customFormat="1" hidden="1">
      <c r="A639" s="3911"/>
      <c r="B639" s="3897"/>
      <c r="C639" s="3897"/>
      <c r="D639" s="3898"/>
      <c r="E639" s="3507" t="s">
        <v>4073</v>
      </c>
      <c r="F639" s="3522">
        <v>40.43</v>
      </c>
      <c r="G639" s="3509">
        <v>6.56</v>
      </c>
      <c r="H639" s="3505" t="s">
        <v>3557</v>
      </c>
      <c r="I639" s="3552">
        <f ca="1">典型户型修正车!S525</f>
        <v>9</v>
      </c>
    </row>
    <row r="640" spans="1:9" s="3472" customFormat="1" hidden="1">
      <c r="A640" s="3911"/>
      <c r="B640" s="3897"/>
      <c r="C640" s="3897"/>
      <c r="D640" s="3898"/>
      <c r="E640" s="3507" t="s">
        <v>4074</v>
      </c>
      <c r="F640" s="3522">
        <v>40.43</v>
      </c>
      <c r="G640" s="3509">
        <v>6.56</v>
      </c>
      <c r="H640" s="3505" t="s">
        <v>3557</v>
      </c>
      <c r="I640" s="3552">
        <f ca="1">典型户型修正车!S526</f>
        <v>9</v>
      </c>
    </row>
    <row r="641" spans="1:9" s="3472" customFormat="1" hidden="1">
      <c r="A641" s="3911"/>
      <c r="B641" s="3897"/>
      <c r="C641" s="3897"/>
      <c r="D641" s="3898"/>
      <c r="E641" s="3507" t="s">
        <v>4075</v>
      </c>
      <c r="F641" s="3522">
        <v>40.43</v>
      </c>
      <c r="G641" s="3509">
        <v>6.56</v>
      </c>
      <c r="H641" s="3505" t="s">
        <v>3557</v>
      </c>
      <c r="I641" s="3552">
        <f ca="1">典型户型修正车!S527</f>
        <v>9</v>
      </c>
    </row>
    <row r="642" spans="1:9" s="3472" customFormat="1" hidden="1">
      <c r="A642" s="3911"/>
      <c r="B642" s="3897"/>
      <c r="C642" s="3897"/>
      <c r="D642" s="3898"/>
      <c r="E642" s="3507" t="s">
        <v>4076</v>
      </c>
      <c r="F642" s="3522">
        <v>40.43</v>
      </c>
      <c r="G642" s="3509">
        <v>6.56</v>
      </c>
      <c r="H642" s="3505" t="s">
        <v>3557</v>
      </c>
      <c r="I642" s="3552">
        <f ca="1">典型户型修正车!S528</f>
        <v>9</v>
      </c>
    </row>
    <row r="643" spans="1:9" s="3472" customFormat="1" hidden="1">
      <c r="A643" s="3911"/>
      <c r="B643" s="3897"/>
      <c r="C643" s="3897"/>
      <c r="D643" s="3898"/>
      <c r="E643" s="3507" t="s">
        <v>4077</v>
      </c>
      <c r="F643" s="3522">
        <v>40.43</v>
      </c>
      <c r="G643" s="3509">
        <v>6.56</v>
      </c>
      <c r="H643" s="3505" t="s">
        <v>3557</v>
      </c>
      <c r="I643" s="3552">
        <f ca="1">典型户型修正车!S529</f>
        <v>9</v>
      </c>
    </row>
    <row r="644" spans="1:9" s="3472" customFormat="1" hidden="1">
      <c r="A644" s="3911"/>
      <c r="B644" s="3897"/>
      <c r="C644" s="3897"/>
      <c r="D644" s="3898"/>
      <c r="E644" s="3507" t="s">
        <v>4078</v>
      </c>
      <c r="F644" s="3522">
        <v>40.43</v>
      </c>
      <c r="G644" s="3509">
        <v>6.56</v>
      </c>
      <c r="H644" s="3505" t="s">
        <v>3557</v>
      </c>
      <c r="I644" s="3552">
        <f ca="1">典型户型修正车!S530</f>
        <v>9</v>
      </c>
    </row>
    <row r="645" spans="1:9" s="3472" customFormat="1" hidden="1">
      <c r="A645" s="3911"/>
      <c r="B645" s="3897"/>
      <c r="C645" s="3897"/>
      <c r="D645" s="3898"/>
      <c r="E645" s="3507" t="s">
        <v>4079</v>
      </c>
      <c r="F645" s="3522">
        <v>40.43</v>
      </c>
      <c r="G645" s="3509">
        <v>6.56</v>
      </c>
      <c r="H645" s="3505" t="s">
        <v>3557</v>
      </c>
      <c r="I645" s="3552">
        <f ca="1">典型户型修正车!S531</f>
        <v>9</v>
      </c>
    </row>
    <row r="646" spans="1:9" s="3472" customFormat="1" hidden="1">
      <c r="A646" s="3911"/>
      <c r="B646" s="3897"/>
      <c r="C646" s="3897"/>
      <c r="D646" s="3898"/>
      <c r="E646" s="3507" t="s">
        <v>4080</v>
      </c>
      <c r="F646" s="3522">
        <v>40.43</v>
      </c>
      <c r="G646" s="3509">
        <v>6.56</v>
      </c>
      <c r="H646" s="3505" t="s">
        <v>3557</v>
      </c>
      <c r="I646" s="3552">
        <f ca="1">典型户型修正车!S532</f>
        <v>9</v>
      </c>
    </row>
    <row r="647" spans="1:9" s="3472" customFormat="1" hidden="1">
      <c r="A647" s="3911"/>
      <c r="B647" s="3897"/>
      <c r="C647" s="3897"/>
      <c r="D647" s="3898"/>
      <c r="E647" s="3507" t="s">
        <v>4081</v>
      </c>
      <c r="F647" s="3522">
        <v>40.43</v>
      </c>
      <c r="G647" s="3509">
        <v>6.56</v>
      </c>
      <c r="H647" s="3505" t="s">
        <v>3557</v>
      </c>
      <c r="I647" s="3552">
        <f ca="1">典型户型修正车!S533</f>
        <v>9</v>
      </c>
    </row>
    <row r="648" spans="1:9" s="3472" customFormat="1" hidden="1">
      <c r="A648" s="3911"/>
      <c r="B648" s="3897"/>
      <c r="C648" s="3897"/>
      <c r="D648" s="3898"/>
      <c r="E648" s="3507" t="s">
        <v>4082</v>
      </c>
      <c r="F648" s="3522">
        <v>40.43</v>
      </c>
      <c r="G648" s="3509">
        <v>6.56</v>
      </c>
      <c r="H648" s="3505" t="s">
        <v>3557</v>
      </c>
      <c r="I648" s="3552">
        <f ca="1">典型户型修正车!S534</f>
        <v>9</v>
      </c>
    </row>
    <row r="649" spans="1:9" s="3472" customFormat="1" hidden="1">
      <c r="A649" s="3911"/>
      <c r="B649" s="3897"/>
      <c r="C649" s="3897"/>
      <c r="D649" s="3898"/>
      <c r="E649" s="3507" t="s">
        <v>4083</v>
      </c>
      <c r="F649" s="3522">
        <v>40.43</v>
      </c>
      <c r="G649" s="3509">
        <v>6.56</v>
      </c>
      <c r="H649" s="3505" t="s">
        <v>3557</v>
      </c>
      <c r="I649" s="3552">
        <f ca="1">典型户型修正车!S535</f>
        <v>9</v>
      </c>
    </row>
    <row r="650" spans="1:9" s="3472" customFormat="1" hidden="1">
      <c r="A650" s="3911"/>
      <c r="B650" s="3897"/>
      <c r="C650" s="3897"/>
      <c r="D650" s="3898"/>
      <c r="E650" s="3507" t="s">
        <v>4084</v>
      </c>
      <c r="F650" s="3522">
        <v>40.43</v>
      </c>
      <c r="G650" s="3509">
        <v>6.56</v>
      </c>
      <c r="H650" s="3505" t="s">
        <v>3557</v>
      </c>
      <c r="I650" s="3552">
        <f ca="1">典型户型修正车!S536</f>
        <v>9</v>
      </c>
    </row>
    <row r="651" spans="1:9" s="3472" customFormat="1" hidden="1">
      <c r="A651" s="3911"/>
      <c r="B651" s="3897"/>
      <c r="C651" s="3897"/>
      <c r="D651" s="3898"/>
      <c r="E651" s="3507" t="s">
        <v>4085</v>
      </c>
      <c r="F651" s="3522">
        <v>40.43</v>
      </c>
      <c r="G651" s="3509">
        <v>6.56</v>
      </c>
      <c r="H651" s="3505" t="s">
        <v>3557</v>
      </c>
      <c r="I651" s="3552">
        <f ca="1">典型户型修正车!S537</f>
        <v>9</v>
      </c>
    </row>
    <row r="652" spans="1:9" s="3472" customFormat="1" hidden="1">
      <c r="A652" s="3911"/>
      <c r="B652" s="3897"/>
      <c r="C652" s="3897"/>
      <c r="D652" s="3898"/>
      <c r="E652" s="3507" t="s">
        <v>4086</v>
      </c>
      <c r="F652" s="3522">
        <v>80.86</v>
      </c>
      <c r="G652" s="3509">
        <v>13.12</v>
      </c>
      <c r="H652" s="3505" t="s">
        <v>3557</v>
      </c>
      <c r="I652" s="3552">
        <f ca="1">典型户型修正车!S538</f>
        <v>19</v>
      </c>
    </row>
    <row r="653" spans="1:9" s="3472" customFormat="1" hidden="1">
      <c r="A653" s="3911"/>
      <c r="B653" s="3897"/>
      <c r="C653" s="3897"/>
      <c r="D653" s="3898"/>
      <c r="E653" s="3507" t="s">
        <v>4087</v>
      </c>
      <c r="F653" s="3522">
        <v>80.86</v>
      </c>
      <c r="G653" s="3509">
        <v>13.12</v>
      </c>
      <c r="H653" s="3505" t="s">
        <v>3557</v>
      </c>
      <c r="I653" s="3552">
        <f ca="1">典型户型修正车!S539</f>
        <v>19</v>
      </c>
    </row>
    <row r="654" spans="1:9" s="3472" customFormat="1" hidden="1">
      <c r="A654" s="3911"/>
      <c r="B654" s="3897"/>
      <c r="C654" s="3897"/>
      <c r="D654" s="3898"/>
      <c r="E654" s="3507" t="s">
        <v>4088</v>
      </c>
      <c r="F654" s="3522">
        <v>80.86</v>
      </c>
      <c r="G654" s="3509">
        <v>13.12</v>
      </c>
      <c r="H654" s="3505" t="s">
        <v>3557</v>
      </c>
      <c r="I654" s="3552">
        <f ca="1">典型户型修正车!S540</f>
        <v>19</v>
      </c>
    </row>
    <row r="655" spans="1:9" s="3472" customFormat="1" hidden="1">
      <c r="A655" s="3911"/>
      <c r="B655" s="3897"/>
      <c r="C655" s="3897"/>
      <c r="D655" s="3898"/>
      <c r="E655" s="3507" t="s">
        <v>4089</v>
      </c>
      <c r="F655" s="3522">
        <v>80.86</v>
      </c>
      <c r="G655" s="3509">
        <v>13.12</v>
      </c>
      <c r="H655" s="3505" t="s">
        <v>3557</v>
      </c>
      <c r="I655" s="3552">
        <f ca="1">典型户型修正车!S541</f>
        <v>19</v>
      </c>
    </row>
    <row r="656" spans="1:9" s="3472" customFormat="1" hidden="1">
      <c r="A656" s="3911"/>
      <c r="B656" s="3897"/>
      <c r="C656" s="3897"/>
      <c r="D656" s="3898"/>
      <c r="E656" s="3507" t="s">
        <v>4090</v>
      </c>
      <c r="F656" s="3522">
        <v>80.86</v>
      </c>
      <c r="G656" s="3509">
        <v>13.12</v>
      </c>
      <c r="H656" s="3505" t="s">
        <v>3557</v>
      </c>
      <c r="I656" s="3552">
        <f ca="1">典型户型修正车!S542</f>
        <v>19</v>
      </c>
    </row>
    <row r="657" spans="1:9" s="3472" customFormat="1" hidden="1">
      <c r="A657" s="3911"/>
      <c r="B657" s="3897"/>
      <c r="C657" s="3897"/>
      <c r="D657" s="3898"/>
      <c r="E657" s="3507" t="s">
        <v>4091</v>
      </c>
      <c r="F657" s="3522">
        <v>40.43</v>
      </c>
      <c r="G657" s="3509">
        <v>6.56</v>
      </c>
      <c r="H657" s="3505" t="s">
        <v>3557</v>
      </c>
      <c r="I657" s="3552">
        <f ca="1">典型户型修正车!S543</f>
        <v>9</v>
      </c>
    </row>
    <row r="658" spans="1:9" s="3472" customFormat="1" hidden="1">
      <c r="A658" s="3911"/>
      <c r="B658" s="3897"/>
      <c r="C658" s="3897"/>
      <c r="D658" s="3898"/>
      <c r="E658" s="3507" t="s">
        <v>4092</v>
      </c>
      <c r="F658" s="3522">
        <v>40.43</v>
      </c>
      <c r="G658" s="3509">
        <v>6.56</v>
      </c>
      <c r="H658" s="3505" t="s">
        <v>3557</v>
      </c>
      <c r="I658" s="3552">
        <f ca="1">典型户型修正车!S544</f>
        <v>9</v>
      </c>
    </row>
    <row r="659" spans="1:9" s="3472" customFormat="1" hidden="1">
      <c r="A659" s="3911"/>
      <c r="B659" s="3897"/>
      <c r="C659" s="3897"/>
      <c r="D659" s="3898"/>
      <c r="E659" s="3507" t="s">
        <v>4093</v>
      </c>
      <c r="F659" s="3522">
        <v>40.43</v>
      </c>
      <c r="G659" s="3509">
        <v>6.56</v>
      </c>
      <c r="H659" s="3505" t="s">
        <v>3557</v>
      </c>
      <c r="I659" s="3552">
        <f ca="1">典型户型修正车!S545</f>
        <v>9</v>
      </c>
    </row>
    <row r="660" spans="1:9" s="3472" customFormat="1" hidden="1">
      <c r="A660" s="3911"/>
      <c r="B660" s="3897"/>
      <c r="C660" s="3897"/>
      <c r="D660" s="3898"/>
      <c r="E660" s="3507" t="s">
        <v>4094</v>
      </c>
      <c r="F660" s="3522">
        <v>40.43</v>
      </c>
      <c r="G660" s="3509">
        <v>6.56</v>
      </c>
      <c r="H660" s="3505" t="s">
        <v>3557</v>
      </c>
      <c r="I660" s="3552">
        <f ca="1">典型户型修正车!S546</f>
        <v>9</v>
      </c>
    </row>
    <row r="661" spans="1:9" s="3472" customFormat="1" hidden="1">
      <c r="A661" s="3911"/>
      <c r="B661" s="3897"/>
      <c r="C661" s="3897"/>
      <c r="D661" s="3898"/>
      <c r="E661" s="3507" t="s">
        <v>4095</v>
      </c>
      <c r="F661" s="3522">
        <v>40.43</v>
      </c>
      <c r="G661" s="3509">
        <v>6.56</v>
      </c>
      <c r="H661" s="3505" t="s">
        <v>3557</v>
      </c>
      <c r="I661" s="3552">
        <f ca="1">典型户型修正车!S547</f>
        <v>9</v>
      </c>
    </row>
    <row r="662" spans="1:9" s="3472" customFormat="1" hidden="1">
      <c r="A662" s="3911"/>
      <c r="B662" s="3897"/>
      <c r="C662" s="3897"/>
      <c r="D662" s="3898"/>
      <c r="E662" s="3507" t="s">
        <v>4096</v>
      </c>
      <c r="F662" s="3522">
        <v>40.43</v>
      </c>
      <c r="G662" s="3509">
        <v>6.56</v>
      </c>
      <c r="H662" s="3505" t="s">
        <v>3557</v>
      </c>
      <c r="I662" s="3552">
        <f ca="1">典型户型修正车!S548</f>
        <v>9</v>
      </c>
    </row>
    <row r="663" spans="1:9" s="3472" customFormat="1" hidden="1">
      <c r="A663" s="3911"/>
      <c r="B663" s="3897"/>
      <c r="C663" s="3897"/>
      <c r="D663" s="3898"/>
      <c r="E663" s="3507" t="s">
        <v>4097</v>
      </c>
      <c r="F663" s="3522">
        <v>80.86</v>
      </c>
      <c r="G663" s="3509">
        <v>13.12</v>
      </c>
      <c r="H663" s="3505" t="s">
        <v>3557</v>
      </c>
      <c r="I663" s="3552">
        <f ca="1">典型户型修正车!S549</f>
        <v>19</v>
      </c>
    </row>
    <row r="664" spans="1:9" s="3472" customFormat="1" hidden="1">
      <c r="A664" s="3911"/>
      <c r="B664" s="3897"/>
      <c r="C664" s="3897"/>
      <c r="D664" s="3898"/>
      <c r="E664" s="3507" t="s">
        <v>4098</v>
      </c>
      <c r="F664" s="3522">
        <v>80.86</v>
      </c>
      <c r="G664" s="3509">
        <v>13.12</v>
      </c>
      <c r="H664" s="3505" t="s">
        <v>3557</v>
      </c>
      <c r="I664" s="3552">
        <f ca="1">典型户型修正车!S550</f>
        <v>19</v>
      </c>
    </row>
    <row r="665" spans="1:9" s="3472" customFormat="1" hidden="1">
      <c r="A665" s="3911"/>
      <c r="B665" s="3897"/>
      <c r="C665" s="3897"/>
      <c r="D665" s="3898"/>
      <c r="E665" s="3507" t="s">
        <v>4099</v>
      </c>
      <c r="F665" s="3522">
        <v>40.43</v>
      </c>
      <c r="G665" s="3509">
        <v>6.56</v>
      </c>
      <c r="H665" s="3505" t="s">
        <v>3557</v>
      </c>
      <c r="I665" s="3552">
        <f ca="1">典型户型修正车!S551</f>
        <v>9</v>
      </c>
    </row>
    <row r="666" spans="1:9" s="3472" customFormat="1" hidden="1">
      <c r="A666" s="3911"/>
      <c r="B666" s="3897"/>
      <c r="C666" s="3897"/>
      <c r="D666" s="3898"/>
      <c r="E666" s="3507" t="s">
        <v>4100</v>
      </c>
      <c r="F666" s="3522">
        <v>40.43</v>
      </c>
      <c r="G666" s="3509">
        <v>6.56</v>
      </c>
      <c r="H666" s="3505" t="s">
        <v>3557</v>
      </c>
      <c r="I666" s="3552">
        <f ca="1">典型户型修正车!S552</f>
        <v>9</v>
      </c>
    </row>
    <row r="667" spans="1:9" s="3472" customFormat="1" hidden="1">
      <c r="A667" s="3911"/>
      <c r="B667" s="3897"/>
      <c r="C667" s="3897"/>
      <c r="D667" s="3898"/>
      <c r="E667" s="3507" t="s">
        <v>4101</v>
      </c>
      <c r="F667" s="3522">
        <v>40.43</v>
      </c>
      <c r="G667" s="3509">
        <v>6.56</v>
      </c>
      <c r="H667" s="3505" t="s">
        <v>3557</v>
      </c>
      <c r="I667" s="3552">
        <f ca="1">典型户型修正车!S553</f>
        <v>9</v>
      </c>
    </row>
    <row r="668" spans="1:9" s="3472" customFormat="1" hidden="1">
      <c r="A668" s="3911"/>
      <c r="B668" s="3897" t="s">
        <v>3769</v>
      </c>
      <c r="C668" s="3897" t="s">
        <v>3770</v>
      </c>
      <c r="D668" s="3898" t="s">
        <v>3771</v>
      </c>
      <c r="E668" s="3507" t="s">
        <v>4102</v>
      </c>
      <c r="F668" s="3522">
        <v>40.43</v>
      </c>
      <c r="G668" s="3509">
        <v>6.56</v>
      </c>
      <c r="H668" s="3505" t="s">
        <v>3557</v>
      </c>
      <c r="I668" s="3552">
        <f ca="1">典型户型修正车!S554</f>
        <v>9</v>
      </c>
    </row>
    <row r="669" spans="1:9" s="3472" customFormat="1" hidden="1">
      <c r="A669" s="3911"/>
      <c r="B669" s="3897"/>
      <c r="C669" s="3897"/>
      <c r="D669" s="3898"/>
      <c r="E669" s="3507" t="s">
        <v>4103</v>
      </c>
      <c r="F669" s="3522">
        <v>80.86</v>
      </c>
      <c r="G669" s="3509">
        <v>13.12</v>
      </c>
      <c r="H669" s="3505" t="s">
        <v>3557</v>
      </c>
      <c r="I669" s="3552">
        <f ca="1">典型户型修正车!S555</f>
        <v>19</v>
      </c>
    </row>
    <row r="670" spans="1:9" s="3472" customFormat="1" hidden="1">
      <c r="A670" s="3911"/>
      <c r="B670" s="3897"/>
      <c r="C670" s="3897"/>
      <c r="D670" s="3898"/>
      <c r="E670" s="3507" t="s">
        <v>4104</v>
      </c>
      <c r="F670" s="3522">
        <v>80.86</v>
      </c>
      <c r="G670" s="3509">
        <v>13.12</v>
      </c>
      <c r="H670" s="3505" t="s">
        <v>3557</v>
      </c>
      <c r="I670" s="3552">
        <f ca="1">典型户型修正车!S556</f>
        <v>19</v>
      </c>
    </row>
    <row r="671" spans="1:9" s="3472" customFormat="1" hidden="1">
      <c r="A671" s="3911"/>
      <c r="B671" s="3897"/>
      <c r="C671" s="3897"/>
      <c r="D671" s="3898"/>
      <c r="E671" s="3507" t="s">
        <v>4105</v>
      </c>
      <c r="F671" s="3522">
        <v>40.43</v>
      </c>
      <c r="G671" s="3509">
        <v>6.56</v>
      </c>
      <c r="H671" s="3505" t="s">
        <v>3557</v>
      </c>
      <c r="I671" s="3552">
        <f ca="1">典型户型修正车!S557</f>
        <v>9</v>
      </c>
    </row>
    <row r="672" spans="1:9" s="3472" customFormat="1" hidden="1">
      <c r="A672" s="3911"/>
      <c r="B672" s="3897"/>
      <c r="C672" s="3897"/>
      <c r="D672" s="3898"/>
      <c r="E672" s="3507" t="s">
        <v>4106</v>
      </c>
      <c r="F672" s="3522">
        <v>40.43</v>
      </c>
      <c r="G672" s="3509">
        <v>6.56</v>
      </c>
      <c r="H672" s="3505" t="s">
        <v>3557</v>
      </c>
      <c r="I672" s="3552">
        <f ca="1">典型户型修正车!S558</f>
        <v>9</v>
      </c>
    </row>
    <row r="673" spans="1:9" s="3472" customFormat="1" hidden="1">
      <c r="A673" s="3911"/>
      <c r="B673" s="3897"/>
      <c r="C673" s="3897"/>
      <c r="D673" s="3898"/>
      <c r="E673" s="3507" t="s">
        <v>4107</v>
      </c>
      <c r="F673" s="3522">
        <v>40.43</v>
      </c>
      <c r="G673" s="3509">
        <v>6.56</v>
      </c>
      <c r="H673" s="3505" t="s">
        <v>3557</v>
      </c>
      <c r="I673" s="3552">
        <f ca="1">典型户型修正车!S559</f>
        <v>9</v>
      </c>
    </row>
    <row r="674" spans="1:9" s="3472" customFormat="1" hidden="1">
      <c r="A674" s="3911"/>
      <c r="B674" s="3897"/>
      <c r="C674" s="3897"/>
      <c r="D674" s="3898"/>
      <c r="E674" s="3507" t="s">
        <v>4108</v>
      </c>
      <c r="F674" s="3522">
        <v>40.43</v>
      </c>
      <c r="G674" s="3509">
        <v>6.56</v>
      </c>
      <c r="H674" s="3505" t="s">
        <v>3557</v>
      </c>
      <c r="I674" s="3552">
        <f ca="1">典型户型修正车!S560</f>
        <v>9</v>
      </c>
    </row>
    <row r="675" spans="1:9" s="3472" customFormat="1" hidden="1">
      <c r="A675" s="3911"/>
      <c r="B675" s="3897"/>
      <c r="C675" s="3897"/>
      <c r="D675" s="3898"/>
      <c r="E675" s="3507" t="s">
        <v>4109</v>
      </c>
      <c r="F675" s="3522">
        <v>40.43</v>
      </c>
      <c r="G675" s="3509">
        <v>6.56</v>
      </c>
      <c r="H675" s="3505" t="s">
        <v>3557</v>
      </c>
      <c r="I675" s="3552">
        <f ca="1">典型户型修正车!S561</f>
        <v>9</v>
      </c>
    </row>
    <row r="676" spans="1:9" s="3472" customFormat="1" hidden="1">
      <c r="A676" s="3911"/>
      <c r="B676" s="3897"/>
      <c r="C676" s="3897"/>
      <c r="D676" s="3898"/>
      <c r="E676" s="3507" t="s">
        <v>4110</v>
      </c>
      <c r="F676" s="3522">
        <v>40.43</v>
      </c>
      <c r="G676" s="3509">
        <v>6.56</v>
      </c>
      <c r="H676" s="3505" t="s">
        <v>3557</v>
      </c>
      <c r="I676" s="3552">
        <f ca="1">典型户型修正车!S562</f>
        <v>9</v>
      </c>
    </row>
    <row r="677" spans="1:9" s="3472" customFormat="1" hidden="1">
      <c r="A677" s="3911"/>
      <c r="B677" s="3897"/>
      <c r="C677" s="3897"/>
      <c r="D677" s="3898"/>
      <c r="E677" s="3507" t="s">
        <v>4111</v>
      </c>
      <c r="F677" s="3522">
        <v>40.43</v>
      </c>
      <c r="G677" s="3509">
        <v>6.56</v>
      </c>
      <c r="H677" s="3505" t="s">
        <v>3557</v>
      </c>
      <c r="I677" s="3552">
        <f ca="1">典型户型修正车!S563</f>
        <v>9</v>
      </c>
    </row>
    <row r="678" spans="1:9" s="3472" customFormat="1" hidden="1">
      <c r="A678" s="3911"/>
      <c r="B678" s="3897"/>
      <c r="C678" s="3897"/>
      <c r="D678" s="3898"/>
      <c r="E678" s="3507" t="s">
        <v>4112</v>
      </c>
      <c r="F678" s="3522">
        <v>40.43</v>
      </c>
      <c r="G678" s="3509">
        <v>6.56</v>
      </c>
      <c r="H678" s="3505" t="s">
        <v>3557</v>
      </c>
      <c r="I678" s="3552">
        <f ca="1">典型户型修正车!S564</f>
        <v>9</v>
      </c>
    </row>
    <row r="679" spans="1:9" s="3472" customFormat="1" hidden="1">
      <c r="A679" s="3911"/>
      <c r="B679" s="3897"/>
      <c r="C679" s="3897"/>
      <c r="D679" s="3898"/>
      <c r="E679" s="3507" t="s">
        <v>4113</v>
      </c>
      <c r="F679" s="3522">
        <v>40.43</v>
      </c>
      <c r="G679" s="3509">
        <v>6.56</v>
      </c>
      <c r="H679" s="3505" t="s">
        <v>3557</v>
      </c>
      <c r="I679" s="3552">
        <f ca="1">典型户型修正车!S565</f>
        <v>9</v>
      </c>
    </row>
    <row r="680" spans="1:9" s="3472" customFormat="1" hidden="1">
      <c r="A680" s="3911"/>
      <c r="B680" s="3897"/>
      <c r="C680" s="3897"/>
      <c r="D680" s="3898"/>
      <c r="E680" s="3507" t="s">
        <v>4114</v>
      </c>
      <c r="F680" s="3522">
        <v>40.43</v>
      </c>
      <c r="G680" s="3509">
        <v>6.56</v>
      </c>
      <c r="H680" s="3505" t="s">
        <v>3557</v>
      </c>
      <c r="I680" s="3552">
        <f ca="1">典型户型修正车!S566</f>
        <v>9</v>
      </c>
    </row>
    <row r="681" spans="1:9" s="3472" customFormat="1" hidden="1">
      <c r="A681" s="3911"/>
      <c r="B681" s="3897"/>
      <c r="C681" s="3897"/>
      <c r="D681" s="3898"/>
      <c r="E681" s="3507" t="s">
        <v>4115</v>
      </c>
      <c r="F681" s="3522">
        <v>40.43</v>
      </c>
      <c r="G681" s="3509">
        <v>6.56</v>
      </c>
      <c r="H681" s="3505" t="s">
        <v>3557</v>
      </c>
      <c r="I681" s="3552">
        <f ca="1">典型户型修正车!S567</f>
        <v>9</v>
      </c>
    </row>
    <row r="682" spans="1:9" s="3472" customFormat="1" hidden="1">
      <c r="A682" s="3911"/>
      <c r="B682" s="3897"/>
      <c r="C682" s="3897"/>
      <c r="D682" s="3898"/>
      <c r="E682" s="3507" t="s">
        <v>4116</v>
      </c>
      <c r="F682" s="3522">
        <v>40.43</v>
      </c>
      <c r="G682" s="3509">
        <v>6.56</v>
      </c>
      <c r="H682" s="3505" t="s">
        <v>3557</v>
      </c>
      <c r="I682" s="3552">
        <f ca="1">典型户型修正车!S568</f>
        <v>9</v>
      </c>
    </row>
    <row r="683" spans="1:9" s="3472" customFormat="1" hidden="1">
      <c r="A683" s="3911"/>
      <c r="B683" s="3897"/>
      <c r="C683" s="3897"/>
      <c r="D683" s="3898"/>
      <c r="E683" s="3507" t="s">
        <v>4117</v>
      </c>
      <c r="F683" s="3522">
        <v>40.43</v>
      </c>
      <c r="G683" s="3509">
        <v>6.56</v>
      </c>
      <c r="H683" s="3505" t="s">
        <v>3557</v>
      </c>
      <c r="I683" s="3552">
        <f ca="1">典型户型修正车!S569</f>
        <v>9</v>
      </c>
    </row>
    <row r="684" spans="1:9" s="3472" customFormat="1" hidden="1">
      <c r="A684" s="3911"/>
      <c r="B684" s="3897"/>
      <c r="C684" s="3897"/>
      <c r="D684" s="3898"/>
      <c r="E684" s="3507" t="s">
        <v>4118</v>
      </c>
      <c r="F684" s="3522">
        <v>40.43</v>
      </c>
      <c r="G684" s="3509">
        <v>6.56</v>
      </c>
      <c r="H684" s="3505" t="s">
        <v>3557</v>
      </c>
      <c r="I684" s="3552">
        <f ca="1">典型户型修正车!S570</f>
        <v>9</v>
      </c>
    </row>
    <row r="685" spans="1:9" s="3472" customFormat="1" hidden="1">
      <c r="A685" s="3911"/>
      <c r="B685" s="3897"/>
      <c r="C685" s="3897"/>
      <c r="D685" s="3898"/>
      <c r="E685" s="3507" t="s">
        <v>4119</v>
      </c>
      <c r="F685" s="3522">
        <v>40.43</v>
      </c>
      <c r="G685" s="3509">
        <v>6.56</v>
      </c>
      <c r="H685" s="3505" t="s">
        <v>3557</v>
      </c>
      <c r="I685" s="3552">
        <f ca="1">典型户型修正车!S571</f>
        <v>9</v>
      </c>
    </row>
    <row r="686" spans="1:9" s="3472" customFormat="1" hidden="1">
      <c r="A686" s="3911"/>
      <c r="B686" s="3897"/>
      <c r="C686" s="3897"/>
      <c r="D686" s="3898"/>
      <c r="E686" s="3507" t="s">
        <v>4120</v>
      </c>
      <c r="F686" s="3522">
        <v>40.43</v>
      </c>
      <c r="G686" s="3509">
        <v>6.56</v>
      </c>
      <c r="H686" s="3505" t="s">
        <v>3557</v>
      </c>
      <c r="I686" s="3552">
        <f ca="1">典型户型修正车!S572</f>
        <v>9</v>
      </c>
    </row>
    <row r="687" spans="1:9" s="3472" customFormat="1" hidden="1">
      <c r="A687" s="3911"/>
      <c r="B687" s="3897"/>
      <c r="C687" s="3897"/>
      <c r="D687" s="3898"/>
      <c r="E687" s="3507" t="s">
        <v>4121</v>
      </c>
      <c r="F687" s="3522">
        <v>40.43</v>
      </c>
      <c r="G687" s="3509">
        <v>6.56</v>
      </c>
      <c r="H687" s="3505" t="s">
        <v>3557</v>
      </c>
      <c r="I687" s="3552">
        <f ca="1">典型户型修正车!S573</f>
        <v>9</v>
      </c>
    </row>
    <row r="688" spans="1:9" s="3472" customFormat="1" hidden="1">
      <c r="A688" s="3911"/>
      <c r="B688" s="3897"/>
      <c r="C688" s="3897"/>
      <c r="D688" s="3898"/>
      <c r="E688" s="3507" t="s">
        <v>4122</v>
      </c>
      <c r="F688" s="3522">
        <v>40.43</v>
      </c>
      <c r="G688" s="3509">
        <v>6.56</v>
      </c>
      <c r="H688" s="3505" t="s">
        <v>3557</v>
      </c>
      <c r="I688" s="3552">
        <f ca="1">典型户型修正车!S574</f>
        <v>9</v>
      </c>
    </row>
    <row r="689" spans="1:9" s="3472" customFormat="1" hidden="1">
      <c r="A689" s="3911"/>
      <c r="B689" s="3897"/>
      <c r="C689" s="3897"/>
      <c r="D689" s="3898"/>
      <c r="E689" s="3507" t="s">
        <v>4123</v>
      </c>
      <c r="F689" s="3522">
        <v>40.43</v>
      </c>
      <c r="G689" s="3509">
        <v>6.56</v>
      </c>
      <c r="H689" s="3505" t="s">
        <v>3557</v>
      </c>
      <c r="I689" s="3552">
        <f ca="1">典型户型修正车!S575</f>
        <v>9</v>
      </c>
    </row>
    <row r="690" spans="1:9" s="3472" customFormat="1" hidden="1">
      <c r="A690" s="3911"/>
      <c r="B690" s="3897"/>
      <c r="C690" s="3897"/>
      <c r="D690" s="3898"/>
      <c r="E690" s="3507" t="s">
        <v>4124</v>
      </c>
      <c r="F690" s="3522">
        <v>40.43</v>
      </c>
      <c r="G690" s="3509">
        <v>6.56</v>
      </c>
      <c r="H690" s="3505" t="s">
        <v>3557</v>
      </c>
      <c r="I690" s="3552">
        <f ca="1">典型户型修正车!S576</f>
        <v>9</v>
      </c>
    </row>
    <row r="691" spans="1:9" s="3472" customFormat="1" hidden="1">
      <c r="A691" s="3911"/>
      <c r="B691" s="3897"/>
      <c r="C691" s="3897"/>
      <c r="D691" s="3898"/>
      <c r="E691" s="3507" t="s">
        <v>4125</v>
      </c>
      <c r="F691" s="3522">
        <v>40.43</v>
      </c>
      <c r="G691" s="3509">
        <v>6.56</v>
      </c>
      <c r="H691" s="3505" t="s">
        <v>3557</v>
      </c>
      <c r="I691" s="3552">
        <f ca="1">典型户型修正车!S577</f>
        <v>9</v>
      </c>
    </row>
    <row r="692" spans="1:9" s="3472" customFormat="1" hidden="1">
      <c r="A692" s="3911"/>
      <c r="B692" s="3897"/>
      <c r="C692" s="3897"/>
      <c r="D692" s="3898"/>
      <c r="E692" s="3507" t="s">
        <v>4126</v>
      </c>
      <c r="F692" s="3522">
        <v>40.43</v>
      </c>
      <c r="G692" s="3509">
        <v>6.56</v>
      </c>
      <c r="H692" s="3505" t="s">
        <v>3557</v>
      </c>
      <c r="I692" s="3552">
        <f ca="1">典型户型修正车!S578</f>
        <v>9</v>
      </c>
    </row>
    <row r="693" spans="1:9" s="3472" customFormat="1" hidden="1">
      <c r="A693" s="3911"/>
      <c r="B693" s="3897"/>
      <c r="C693" s="3897"/>
      <c r="D693" s="3898"/>
      <c r="E693" s="3507" t="s">
        <v>4127</v>
      </c>
      <c r="F693" s="3522">
        <v>40.43</v>
      </c>
      <c r="G693" s="3509">
        <v>6.56</v>
      </c>
      <c r="H693" s="3505" t="s">
        <v>3557</v>
      </c>
      <c r="I693" s="3552">
        <f ca="1">典型户型修正车!S579</f>
        <v>9</v>
      </c>
    </row>
    <row r="694" spans="1:9" s="3472" customFormat="1" hidden="1">
      <c r="A694" s="3911"/>
      <c r="B694" s="3897"/>
      <c r="C694" s="3897"/>
      <c r="D694" s="3898"/>
      <c r="E694" s="3507" t="s">
        <v>4128</v>
      </c>
      <c r="F694" s="3522">
        <v>40.43</v>
      </c>
      <c r="G694" s="3509">
        <v>6.56</v>
      </c>
      <c r="H694" s="3505" t="s">
        <v>3557</v>
      </c>
      <c r="I694" s="3552">
        <f ca="1">典型户型修正车!S580</f>
        <v>9</v>
      </c>
    </row>
    <row r="695" spans="1:9" s="3472" customFormat="1" hidden="1">
      <c r="A695" s="3911"/>
      <c r="B695" s="3897"/>
      <c r="C695" s="3897"/>
      <c r="D695" s="3898"/>
      <c r="E695" s="3507" t="s">
        <v>4129</v>
      </c>
      <c r="F695" s="3522">
        <v>40.43</v>
      </c>
      <c r="G695" s="3509">
        <v>6.56</v>
      </c>
      <c r="H695" s="3505" t="s">
        <v>3557</v>
      </c>
      <c r="I695" s="3552">
        <f ca="1">典型户型修正车!S581</f>
        <v>9</v>
      </c>
    </row>
    <row r="696" spans="1:9" s="3472" customFormat="1" hidden="1">
      <c r="A696" s="3911"/>
      <c r="B696" s="3897"/>
      <c r="C696" s="3897"/>
      <c r="D696" s="3898"/>
      <c r="E696" s="3507" t="s">
        <v>4130</v>
      </c>
      <c r="F696" s="3522">
        <v>40.43</v>
      </c>
      <c r="G696" s="3509">
        <v>6.56</v>
      </c>
      <c r="H696" s="3505" t="s">
        <v>3557</v>
      </c>
      <c r="I696" s="3552">
        <f ca="1">典型户型修正车!S582</f>
        <v>9</v>
      </c>
    </row>
    <row r="697" spans="1:9" s="3472" customFormat="1" hidden="1">
      <c r="A697" s="3911"/>
      <c r="B697" s="3897"/>
      <c r="C697" s="3897"/>
      <c r="D697" s="3898"/>
      <c r="E697" s="3507" t="s">
        <v>4131</v>
      </c>
      <c r="F697" s="3522">
        <v>40.43</v>
      </c>
      <c r="G697" s="3509">
        <v>6.56</v>
      </c>
      <c r="H697" s="3505" t="s">
        <v>3557</v>
      </c>
      <c r="I697" s="3552">
        <f ca="1">典型户型修正车!S583</f>
        <v>9</v>
      </c>
    </row>
    <row r="698" spans="1:9" s="3472" customFormat="1" hidden="1">
      <c r="A698" s="3911"/>
      <c r="B698" s="3897"/>
      <c r="C698" s="3897"/>
      <c r="D698" s="3898"/>
      <c r="E698" s="3507" t="s">
        <v>4132</v>
      </c>
      <c r="F698" s="3522">
        <v>40.43</v>
      </c>
      <c r="G698" s="3509">
        <v>6.56</v>
      </c>
      <c r="H698" s="3505" t="s">
        <v>3557</v>
      </c>
      <c r="I698" s="3552">
        <f ca="1">典型户型修正车!S584</f>
        <v>9</v>
      </c>
    </row>
    <row r="699" spans="1:9" s="3472" customFormat="1" hidden="1">
      <c r="A699" s="3911"/>
      <c r="B699" s="3897"/>
      <c r="C699" s="3897"/>
      <c r="D699" s="3898"/>
      <c r="E699" s="3507" t="s">
        <v>4133</v>
      </c>
      <c r="F699" s="3522">
        <v>40.43</v>
      </c>
      <c r="G699" s="3509">
        <v>6.56</v>
      </c>
      <c r="H699" s="3505" t="s">
        <v>3557</v>
      </c>
      <c r="I699" s="3552">
        <f ca="1">典型户型修正车!S585</f>
        <v>9</v>
      </c>
    </row>
    <row r="700" spans="1:9" s="3472" customFormat="1" hidden="1">
      <c r="A700" s="3911"/>
      <c r="B700" s="3897"/>
      <c r="C700" s="3897"/>
      <c r="D700" s="3898"/>
      <c r="E700" s="3507" t="s">
        <v>4134</v>
      </c>
      <c r="F700" s="3522">
        <v>40.43</v>
      </c>
      <c r="G700" s="3509">
        <v>6.56</v>
      </c>
      <c r="H700" s="3505" t="s">
        <v>3557</v>
      </c>
      <c r="I700" s="3552">
        <f ca="1">典型户型修正车!S586</f>
        <v>9</v>
      </c>
    </row>
    <row r="701" spans="1:9" s="3472" customFormat="1" hidden="1">
      <c r="A701" s="3911"/>
      <c r="B701" s="3897"/>
      <c r="C701" s="3897"/>
      <c r="D701" s="3898"/>
      <c r="E701" s="3507" t="s">
        <v>4135</v>
      </c>
      <c r="F701" s="3522">
        <v>40.43</v>
      </c>
      <c r="G701" s="3509">
        <v>6.56</v>
      </c>
      <c r="H701" s="3505" t="s">
        <v>3557</v>
      </c>
      <c r="I701" s="3552">
        <f ca="1">典型户型修正车!S587</f>
        <v>9</v>
      </c>
    </row>
    <row r="702" spans="1:9" s="3472" customFormat="1" hidden="1">
      <c r="A702" s="3911"/>
      <c r="B702" s="3897"/>
      <c r="C702" s="3897"/>
      <c r="D702" s="3898"/>
      <c r="E702" s="3507" t="s">
        <v>4136</v>
      </c>
      <c r="F702" s="3522">
        <v>40.43</v>
      </c>
      <c r="G702" s="3509">
        <v>6.56</v>
      </c>
      <c r="H702" s="3505" t="s">
        <v>3557</v>
      </c>
      <c r="I702" s="3552">
        <f ca="1">典型户型修正车!S588</f>
        <v>9</v>
      </c>
    </row>
    <row r="703" spans="1:9" s="3472" customFormat="1" hidden="1">
      <c r="A703" s="3911"/>
      <c r="B703" s="3897"/>
      <c r="C703" s="3897"/>
      <c r="D703" s="3898"/>
      <c r="E703" s="3507" t="s">
        <v>4137</v>
      </c>
      <c r="F703" s="3522">
        <v>40.43</v>
      </c>
      <c r="G703" s="3509">
        <v>6.56</v>
      </c>
      <c r="H703" s="3505" t="s">
        <v>3557</v>
      </c>
      <c r="I703" s="3552">
        <f ca="1">典型户型修正车!S589</f>
        <v>9</v>
      </c>
    </row>
    <row r="704" spans="1:9" s="3472" customFormat="1" hidden="1">
      <c r="A704" s="3911"/>
      <c r="B704" s="3897"/>
      <c r="C704" s="3897"/>
      <c r="D704" s="3898"/>
      <c r="E704" s="3507" t="s">
        <v>4138</v>
      </c>
      <c r="F704" s="3522">
        <v>40.43</v>
      </c>
      <c r="G704" s="3509">
        <v>6.56</v>
      </c>
      <c r="H704" s="3505" t="s">
        <v>3557</v>
      </c>
      <c r="I704" s="3552">
        <f ca="1">典型户型修正车!S590</f>
        <v>9</v>
      </c>
    </row>
    <row r="705" spans="1:18" s="3472" customFormat="1" hidden="1">
      <c r="A705" s="3911"/>
      <c r="B705" s="3897" t="s">
        <v>3769</v>
      </c>
      <c r="C705" s="3897" t="s">
        <v>3770</v>
      </c>
      <c r="D705" s="3898" t="s">
        <v>3771</v>
      </c>
      <c r="E705" s="3507" t="s">
        <v>4139</v>
      </c>
      <c r="F705" s="3522">
        <v>40.43</v>
      </c>
      <c r="G705" s="3509">
        <v>6.56</v>
      </c>
      <c r="H705" s="3505" t="s">
        <v>3557</v>
      </c>
      <c r="I705" s="3552">
        <f ca="1">典型户型修正车!S591</f>
        <v>9</v>
      </c>
    </row>
    <row r="706" spans="1:18" s="3472" customFormat="1" hidden="1">
      <c r="A706" s="3911"/>
      <c r="B706" s="3897"/>
      <c r="C706" s="3897"/>
      <c r="D706" s="3898"/>
      <c r="E706" s="3507" t="s">
        <v>4140</v>
      </c>
      <c r="F706" s="3522">
        <v>40.43</v>
      </c>
      <c r="G706" s="3509">
        <v>6.56</v>
      </c>
      <c r="H706" s="3505" t="s">
        <v>3557</v>
      </c>
      <c r="I706" s="3552">
        <f ca="1">典型户型修正车!S592</f>
        <v>9</v>
      </c>
    </row>
    <row r="707" spans="1:18" s="3472" customFormat="1" hidden="1">
      <c r="A707" s="3911"/>
      <c r="B707" s="3897"/>
      <c r="C707" s="3897"/>
      <c r="D707" s="3898"/>
      <c r="E707" s="3507" t="s">
        <v>4141</v>
      </c>
      <c r="F707" s="3522">
        <v>40.43</v>
      </c>
      <c r="G707" s="3509">
        <v>6.56</v>
      </c>
      <c r="H707" s="3505" t="s">
        <v>3557</v>
      </c>
      <c r="I707" s="3552">
        <f ca="1">典型户型修正车!S593</f>
        <v>9</v>
      </c>
    </row>
    <row r="708" spans="1:18" s="3472" customFormat="1" hidden="1">
      <c r="A708" s="3911"/>
      <c r="B708" s="3897"/>
      <c r="C708" s="3897"/>
      <c r="D708" s="3898"/>
      <c r="E708" s="3507" t="s">
        <v>4142</v>
      </c>
      <c r="F708" s="3522">
        <v>40.43</v>
      </c>
      <c r="G708" s="3509">
        <v>6.56</v>
      </c>
      <c r="H708" s="3505" t="s">
        <v>3557</v>
      </c>
      <c r="I708" s="3552">
        <f ca="1">典型户型修正车!S594</f>
        <v>9</v>
      </c>
    </row>
    <row r="709" spans="1:18" s="3472" customFormat="1" hidden="1">
      <c r="A709" s="3911"/>
      <c r="B709" s="3897"/>
      <c r="C709" s="3897"/>
      <c r="D709" s="3898"/>
      <c r="E709" s="3507" t="s">
        <v>4143</v>
      </c>
      <c r="F709" s="3522">
        <v>40.43</v>
      </c>
      <c r="G709" s="3509">
        <v>6.56</v>
      </c>
      <c r="H709" s="3505" t="s">
        <v>3557</v>
      </c>
      <c r="I709" s="3552">
        <f ca="1">典型户型修正车!S595</f>
        <v>9</v>
      </c>
    </row>
    <row r="710" spans="1:18" s="3472" customFormat="1" hidden="1">
      <c r="A710" s="3911"/>
      <c r="B710" s="3897"/>
      <c r="C710" s="3897"/>
      <c r="D710" s="3898"/>
      <c r="E710" s="3507" t="s">
        <v>4144</v>
      </c>
      <c r="F710" s="3522">
        <v>40.43</v>
      </c>
      <c r="G710" s="3509">
        <v>6.56</v>
      </c>
      <c r="H710" s="3505" t="s">
        <v>3557</v>
      </c>
      <c r="I710" s="3552">
        <f ca="1">典型户型修正车!S596</f>
        <v>9</v>
      </c>
    </row>
    <row r="711" spans="1:18" s="3472" customFormat="1" hidden="1">
      <c r="A711" s="3911"/>
      <c r="B711" s="3897"/>
      <c r="C711" s="3897"/>
      <c r="D711" s="3898"/>
      <c r="E711" s="3507" t="s">
        <v>4145</v>
      </c>
      <c r="F711" s="3522">
        <v>40.43</v>
      </c>
      <c r="G711" s="3509">
        <v>6.56</v>
      </c>
      <c r="H711" s="3505" t="s">
        <v>3557</v>
      </c>
      <c r="I711" s="3552">
        <f ca="1">典型户型修正车!S597</f>
        <v>9</v>
      </c>
    </row>
    <row r="712" spans="1:18" s="3472" customFormat="1" hidden="1">
      <c r="A712" s="3911"/>
      <c r="B712" s="3897"/>
      <c r="C712" s="3897"/>
      <c r="D712" s="3898"/>
      <c r="E712" s="3507" t="s">
        <v>4146</v>
      </c>
      <c r="F712" s="3522">
        <v>40.43</v>
      </c>
      <c r="G712" s="3509">
        <v>6.56</v>
      </c>
      <c r="H712" s="3505" t="s">
        <v>3557</v>
      </c>
      <c r="I712" s="3552">
        <f ca="1">典型户型修正车!S598</f>
        <v>9</v>
      </c>
    </row>
    <row r="713" spans="1:18" s="3472" customFormat="1" hidden="1">
      <c r="A713" s="3911"/>
      <c r="B713" s="3897"/>
      <c r="C713" s="3897"/>
      <c r="D713" s="3898"/>
      <c r="E713" s="3507" t="s">
        <v>4147</v>
      </c>
      <c r="F713" s="3522">
        <v>40.43</v>
      </c>
      <c r="G713" s="3509">
        <v>6.56</v>
      </c>
      <c r="H713" s="3505" t="s">
        <v>3557</v>
      </c>
      <c r="I713" s="3552">
        <f ca="1">典型户型修正车!S599</f>
        <v>9</v>
      </c>
    </row>
    <row r="714" spans="1:18" s="3472" customFormat="1" hidden="1">
      <c r="A714" s="3911"/>
      <c r="B714" s="3897"/>
      <c r="C714" s="3897"/>
      <c r="D714" s="3898"/>
      <c r="E714" s="3507" t="s">
        <v>4148</v>
      </c>
      <c r="F714" s="3522">
        <v>40.43</v>
      </c>
      <c r="G714" s="3509">
        <v>6.56</v>
      </c>
      <c r="H714" s="3505" t="s">
        <v>3557</v>
      </c>
      <c r="I714" s="3552">
        <f ca="1">典型户型修正车!S600</f>
        <v>9</v>
      </c>
    </row>
    <row r="715" spans="1:18" s="3472" customFormat="1" hidden="1">
      <c r="A715" s="3911"/>
      <c r="B715" s="3897"/>
      <c r="C715" s="3897"/>
      <c r="D715" s="3898"/>
      <c r="E715" s="3507" t="s">
        <v>4149</v>
      </c>
      <c r="F715" s="3522">
        <v>40.43</v>
      </c>
      <c r="G715" s="3509">
        <v>6.56</v>
      </c>
      <c r="H715" s="3505" t="s">
        <v>3557</v>
      </c>
      <c r="I715" s="3552">
        <f ca="1">典型户型修正车!S601</f>
        <v>9</v>
      </c>
    </row>
    <row r="716" spans="1:18" s="3472" customFormat="1" hidden="1">
      <c r="A716" s="3911"/>
      <c r="B716" s="3897"/>
      <c r="C716" s="3897"/>
      <c r="D716" s="3898"/>
      <c r="E716" s="3507" t="s">
        <v>4150</v>
      </c>
      <c r="F716" s="3522">
        <v>40.43</v>
      </c>
      <c r="G716" s="3509">
        <v>6.56</v>
      </c>
      <c r="H716" s="3505" t="s">
        <v>3557</v>
      </c>
      <c r="I716" s="3552">
        <f ca="1">典型户型修正车!S602</f>
        <v>9</v>
      </c>
    </row>
    <row r="717" spans="1:18" s="3472" customFormat="1" hidden="1">
      <c r="A717" s="3911"/>
      <c r="B717" s="3897"/>
      <c r="C717" s="3897"/>
      <c r="D717" s="3898"/>
      <c r="E717" s="3507" t="s">
        <v>4151</v>
      </c>
      <c r="F717" s="3522">
        <v>40.43</v>
      </c>
      <c r="G717" s="3509">
        <v>6.56</v>
      </c>
      <c r="H717" s="3505" t="s">
        <v>3557</v>
      </c>
      <c r="I717" s="3552">
        <f ca="1">典型户型修正车!S603</f>
        <v>9</v>
      </c>
    </row>
    <row r="718" spans="1:18" s="3472" customFormat="1" hidden="1">
      <c r="A718" s="3911"/>
      <c r="B718" s="3897"/>
      <c r="C718" s="3897"/>
      <c r="D718" s="3898"/>
      <c r="E718" s="3507" t="s">
        <v>4152</v>
      </c>
      <c r="F718" s="3522">
        <v>40.43</v>
      </c>
      <c r="G718" s="3509">
        <v>6.56</v>
      </c>
      <c r="H718" s="3505" t="s">
        <v>3557</v>
      </c>
      <c r="I718" s="3552">
        <f ca="1">典型户型修正车!S604</f>
        <v>9</v>
      </c>
    </row>
    <row r="719" spans="1:18" s="3472" customFormat="1" hidden="1">
      <c r="A719" s="3911"/>
      <c r="B719" s="3897"/>
      <c r="C719" s="3897"/>
      <c r="D719" s="3898"/>
      <c r="E719" s="3507" t="s">
        <v>4153</v>
      </c>
      <c r="F719" s="3522">
        <v>40.43</v>
      </c>
      <c r="G719" s="3509">
        <v>6.56</v>
      </c>
      <c r="H719" s="3505" t="s">
        <v>3557</v>
      </c>
      <c r="I719" s="3552">
        <f ca="1">典型户型修正车!S605</f>
        <v>9</v>
      </c>
    </row>
    <row r="720" spans="1:18" s="3472" customFormat="1" hidden="1">
      <c r="A720" s="3911"/>
      <c r="B720" s="3897"/>
      <c r="C720" s="3897"/>
      <c r="D720" s="3898"/>
      <c r="E720" s="3507" t="s">
        <v>4154</v>
      </c>
      <c r="F720" s="3522">
        <v>40.43</v>
      </c>
      <c r="G720" s="3509">
        <v>6.56</v>
      </c>
      <c r="H720" s="3505" t="s">
        <v>3557</v>
      </c>
      <c r="I720" s="3552">
        <f ca="1">典型户型修正车!S606</f>
        <v>9</v>
      </c>
      <c r="M720" s="3467"/>
      <c r="N720" s="3467"/>
      <c r="O720" s="3467"/>
      <c r="P720" s="3467"/>
      <c r="Q720" s="3467"/>
      <c r="R720" s="3467"/>
    </row>
    <row r="721" spans="1:18" s="3472" customFormat="1" hidden="1">
      <c r="A721" s="3911"/>
      <c r="B721" s="3897"/>
      <c r="C721" s="3897"/>
      <c r="D721" s="3898"/>
      <c r="E721" s="3507" t="s">
        <v>4155</v>
      </c>
      <c r="F721" s="3522">
        <v>40.43</v>
      </c>
      <c r="G721" s="3509">
        <v>6.56</v>
      </c>
      <c r="H721" s="3505" t="s">
        <v>3557</v>
      </c>
      <c r="I721" s="3552">
        <f ca="1">典型户型修正车!S607</f>
        <v>9</v>
      </c>
      <c r="M721" s="3467"/>
      <c r="N721" s="3467"/>
      <c r="O721" s="3467"/>
      <c r="P721" s="3467"/>
      <c r="Q721" s="3467"/>
      <c r="R721" s="3467"/>
    </row>
    <row r="722" spans="1:18" s="3472" customFormat="1" hidden="1">
      <c r="A722" s="3911"/>
      <c r="B722" s="3897"/>
      <c r="C722" s="3897"/>
      <c r="D722" s="3898"/>
      <c r="E722" s="3507" t="s">
        <v>4156</v>
      </c>
      <c r="F722" s="3522">
        <v>40.43</v>
      </c>
      <c r="G722" s="3509">
        <v>6.56</v>
      </c>
      <c r="H722" s="3505" t="s">
        <v>3557</v>
      </c>
      <c r="I722" s="3552">
        <f ca="1">典型户型修正车!S608</f>
        <v>9</v>
      </c>
      <c r="M722" s="3467"/>
      <c r="N722" s="3467"/>
      <c r="O722" s="3467"/>
      <c r="P722" s="3467"/>
      <c r="Q722" s="3467"/>
      <c r="R722" s="3467"/>
    </row>
    <row r="723" spans="1:18" s="3472" customFormat="1" hidden="1">
      <c r="A723" s="3911"/>
      <c r="B723" s="3897"/>
      <c r="C723" s="3897"/>
      <c r="D723" s="3898"/>
      <c r="E723" s="3507" t="s">
        <v>4157</v>
      </c>
      <c r="F723" s="3522">
        <v>40.43</v>
      </c>
      <c r="G723" s="3509">
        <v>6.56</v>
      </c>
      <c r="H723" s="3505" t="s">
        <v>3557</v>
      </c>
      <c r="I723" s="3552">
        <f ca="1">典型户型修正车!S609</f>
        <v>9</v>
      </c>
      <c r="M723" s="3467"/>
      <c r="N723" s="3467"/>
      <c r="O723" s="3467"/>
      <c r="P723" s="3467"/>
      <c r="Q723" s="3467"/>
      <c r="R723" s="3467"/>
    </row>
    <row r="724" spans="1:18" s="3472" customFormat="1" hidden="1">
      <c r="A724" s="3911"/>
      <c r="B724" s="3897"/>
      <c r="C724" s="3897"/>
      <c r="D724" s="3898"/>
      <c r="E724" s="3507" t="s">
        <v>4158</v>
      </c>
      <c r="F724" s="3522">
        <v>40.43</v>
      </c>
      <c r="G724" s="3509">
        <v>6.56</v>
      </c>
      <c r="H724" s="3505" t="s">
        <v>3557</v>
      </c>
      <c r="I724" s="3552">
        <f ca="1">典型户型修正车!S610</f>
        <v>9</v>
      </c>
      <c r="M724" s="3467"/>
      <c r="N724" s="3467"/>
      <c r="O724" s="3467"/>
      <c r="P724" s="3467"/>
      <c r="Q724" s="3467"/>
      <c r="R724" s="3467"/>
    </row>
    <row r="725" spans="1:18" s="3472" customFormat="1" hidden="1">
      <c r="A725" s="3902" t="s">
        <v>3526</v>
      </c>
      <c r="B725" s="3902"/>
      <c r="C725" s="3902"/>
      <c r="D725" s="3902"/>
      <c r="E725" s="3902"/>
      <c r="F725" s="3520">
        <f>SUM(F298:F724)</f>
        <v>22261.000000000116</v>
      </c>
      <c r="G725" s="3466">
        <f>SUM(G298:G724)</f>
        <v>3610.6599999999776</v>
      </c>
      <c r="H725" s="3506"/>
      <c r="I725" s="3550">
        <f ca="1">SUM(I298:I724)</f>
        <v>4183</v>
      </c>
      <c r="M725" s="3467"/>
      <c r="N725" s="3467"/>
      <c r="O725" s="3467"/>
      <c r="P725" s="3467"/>
      <c r="Q725" s="3467"/>
      <c r="R725" s="3467"/>
    </row>
    <row r="726" spans="1:18" s="3472" customFormat="1" hidden="1">
      <c r="A726" s="3902"/>
      <c r="B726" s="3902"/>
      <c r="C726" s="3902"/>
      <c r="D726" s="3902"/>
      <c r="E726" s="3902"/>
      <c r="F726" s="3520">
        <f>SUM(F725,F297,F277,F266,F231,F8,F13,F37,F217)</f>
        <v>141995.3000000001</v>
      </c>
      <c r="G726" s="3520">
        <f t="shared" ref="G726:H726" si="0">SUM(G725,G297,G277,G266,G231,G8,G13,G37,G217)</f>
        <v>23699.179999999975</v>
      </c>
      <c r="H726" s="3520">
        <f t="shared" si="0"/>
        <v>0</v>
      </c>
      <c r="I726" s="3520">
        <f ca="1">SUM(I725,I297,I277,I266,I231,I8,I13,I37,I217)</f>
        <v>261950</v>
      </c>
      <c r="M726" s="3467"/>
      <c r="N726" s="3467"/>
      <c r="O726" s="3467"/>
      <c r="P726" s="3467"/>
      <c r="Q726" s="3467"/>
      <c r="R726" s="3467"/>
    </row>
    <row r="727" spans="1:18">
      <c r="F727" s="3523">
        <f>SUM(F297,F277,F266,F231,F37,F13)</f>
        <v>104706.91</v>
      </c>
      <c r="G727" s="3523">
        <f t="shared" ref="G727:I727" si="1">SUM(G297,G277,G266,G231,G37,G13)</f>
        <v>17353.189999999999</v>
      </c>
      <c r="H727" s="3523">
        <f t="shared" si="1"/>
        <v>0</v>
      </c>
      <c r="I727" s="3523">
        <f t="shared" ca="1" si="1"/>
        <v>252358</v>
      </c>
    </row>
    <row r="728" spans="1:18">
      <c r="F728" s="3523"/>
      <c r="I728" s="3554">
        <v>301371</v>
      </c>
    </row>
    <row r="729" spans="1:18">
      <c r="F729" s="3523"/>
      <c r="I729" s="3554">
        <f ca="1">I727-I728</f>
        <v>-49013</v>
      </c>
    </row>
  </sheetData>
  <mergeCells count="92">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297:E297"/>
    <mergeCell ref="A232:A265"/>
    <mergeCell ref="B232:B265"/>
    <mergeCell ref="C232:C265"/>
    <mergeCell ref="D232:D265"/>
    <mergeCell ref="A266:E266"/>
    <mergeCell ref="A231:E231"/>
    <mergeCell ref="A277:E277"/>
    <mergeCell ref="A278:A296"/>
    <mergeCell ref="B278:B296"/>
    <mergeCell ref="C278:C296"/>
    <mergeCell ref="D278:D296"/>
    <mergeCell ref="A217:E217"/>
    <mergeCell ref="A219:A230"/>
    <mergeCell ref="B219:B230"/>
    <mergeCell ref="C219:C230"/>
    <mergeCell ref="D219:D230"/>
    <mergeCell ref="B409:B445"/>
    <mergeCell ref="C409:C445"/>
    <mergeCell ref="B446:B482"/>
    <mergeCell ref="C446:C482"/>
    <mergeCell ref="D446:D482"/>
    <mergeCell ref="C668:C704"/>
    <mergeCell ref="D668:D704"/>
    <mergeCell ref="B557:B593"/>
    <mergeCell ref="D483:D519"/>
    <mergeCell ref="B520:B556"/>
    <mergeCell ref="C520:C556"/>
    <mergeCell ref="D520:D556"/>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372:C408"/>
    <mergeCell ref="D409:D445"/>
    <mergeCell ref="D372:D408"/>
    <mergeCell ref="M21:O21"/>
    <mergeCell ref="A725:E725"/>
    <mergeCell ref="A267:A276"/>
    <mergeCell ref="B267:B276"/>
    <mergeCell ref="C267:C276"/>
    <mergeCell ref="D267:D276"/>
    <mergeCell ref="C557:C593"/>
    <mergeCell ref="D557:D593"/>
    <mergeCell ref="B594:B630"/>
    <mergeCell ref="C594:C630"/>
    <mergeCell ref="D594:D630"/>
    <mergeCell ref="B483:B519"/>
    <mergeCell ref="C483:C519"/>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4222</v>
      </c>
    </row>
    <row r="2" spans="1:12" ht="21.75" customHeight="1" thickBot="1">
      <c r="A2" s="3750" t="str">
        <f>项目基本情况!S2</f>
        <v>北京市昌平区英才南一街15号院1号楼等13栋部分用房房地产</v>
      </c>
      <c r="B2" s="3751"/>
      <c r="C2" s="3751"/>
      <c r="D2" s="3751"/>
      <c r="E2" s="3751"/>
      <c r="F2" s="3751"/>
      <c r="G2" s="3751"/>
      <c r="H2" s="3751"/>
      <c r="I2" s="3752"/>
    </row>
    <row r="3" spans="1:12" ht="12.75">
      <c r="A3" s="3754" t="s">
        <v>1264</v>
      </c>
      <c r="B3" s="3755"/>
      <c r="C3" s="3755"/>
      <c r="D3" s="3755"/>
      <c r="E3" s="3755"/>
      <c r="F3" s="3755"/>
      <c r="G3" s="3755"/>
      <c r="H3" s="3755"/>
      <c r="I3" s="3755"/>
    </row>
    <row r="4" spans="1:12" ht="14.25">
      <c r="A4" s="1746" t="s">
        <v>1265</v>
      </c>
      <c r="B4" s="1747" t="s">
        <v>1266</v>
      </c>
      <c r="C4" s="1748" t="s">
        <v>4218</v>
      </c>
      <c r="D4" s="1748" t="s">
        <v>4164</v>
      </c>
      <c r="E4" s="3756" t="s">
        <v>1267</v>
      </c>
      <c r="F4" s="3757"/>
      <c r="G4" s="3757"/>
      <c r="H4" s="3757"/>
      <c r="I4" s="3758"/>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30" t="s">
        <v>1268</v>
      </c>
      <c r="B5" s="3717">
        <v>25</v>
      </c>
      <c r="C5" s="3733"/>
      <c r="D5" s="3753"/>
      <c r="E5" s="131" t="s">
        <v>1269</v>
      </c>
      <c r="F5" s="1749"/>
      <c r="G5" s="1749"/>
      <c r="H5" s="1749"/>
      <c r="I5" s="1365"/>
    </row>
    <row r="6" spans="1:12" ht="12.75">
      <c r="A6" s="3730"/>
      <c r="B6" s="3717"/>
      <c r="C6" s="3734"/>
      <c r="D6" s="3753"/>
      <c r="E6" s="131" t="s">
        <v>1270</v>
      </c>
      <c r="F6" s="1749"/>
      <c r="G6" s="1749"/>
      <c r="H6" s="1749"/>
      <c r="I6" s="1365"/>
    </row>
    <row r="7" spans="1:12" ht="12.75">
      <c r="A7" s="3730"/>
      <c r="B7" s="3717"/>
      <c r="C7" s="3735"/>
      <c r="D7" s="3753"/>
      <c r="E7" s="131" t="s">
        <v>1271</v>
      </c>
      <c r="F7" s="1749"/>
      <c r="G7" s="1749"/>
      <c r="H7" s="1749"/>
      <c r="I7" s="1365"/>
    </row>
    <row r="8" spans="1:12" ht="12.75">
      <c r="A8" s="3730" t="s">
        <v>1272</v>
      </c>
      <c r="B8" s="3717">
        <v>15</v>
      </c>
      <c r="C8" s="3733"/>
      <c r="D8" s="3753"/>
      <c r="E8" s="131" t="s">
        <v>1273</v>
      </c>
      <c r="F8" s="1749"/>
      <c r="G8" s="1749"/>
      <c r="H8" s="1749"/>
      <c r="I8" s="1365"/>
    </row>
    <row r="9" spans="1:12" ht="12.75">
      <c r="A9" s="3730"/>
      <c r="B9" s="3717"/>
      <c r="C9" s="3735"/>
      <c r="D9" s="3753"/>
      <c r="E9" s="131" t="s">
        <v>1274</v>
      </c>
      <c r="F9" s="1749"/>
      <c r="G9" s="1749"/>
      <c r="H9" s="1749"/>
      <c r="I9" s="1365"/>
    </row>
    <row r="10" spans="1:12" ht="12.75">
      <c r="A10" s="3730" t="s">
        <v>1275</v>
      </c>
      <c r="B10" s="3717">
        <v>15</v>
      </c>
      <c r="C10" s="3733"/>
      <c r="D10" s="3753"/>
      <c r="E10" s="131" t="s">
        <v>1276</v>
      </c>
      <c r="F10" s="1749"/>
      <c r="G10" s="1749"/>
      <c r="H10" s="1749"/>
      <c r="I10" s="1365"/>
    </row>
    <row r="11" spans="1:12" ht="12.75">
      <c r="A11" s="3730"/>
      <c r="B11" s="3717"/>
      <c r="C11" s="3735"/>
      <c r="D11" s="3753"/>
      <c r="E11" s="131" t="s">
        <v>1277</v>
      </c>
      <c r="F11" s="1749"/>
      <c r="G11" s="1749"/>
      <c r="H11" s="1749"/>
      <c r="I11" s="1365"/>
    </row>
    <row r="12" spans="1:12" ht="12.75">
      <c r="A12" s="3730" t="s">
        <v>1278</v>
      </c>
      <c r="B12" s="3717">
        <v>15</v>
      </c>
      <c r="C12" s="3733"/>
      <c r="D12" s="3753"/>
      <c r="E12" s="131" t="s">
        <v>1279</v>
      </c>
      <c r="F12" s="1749"/>
      <c r="G12" s="1749"/>
      <c r="H12" s="1749"/>
      <c r="I12" s="1365"/>
    </row>
    <row r="13" spans="1:12" ht="12.75">
      <c r="A13" s="3730"/>
      <c r="B13" s="3717"/>
      <c r="C13" s="3735"/>
      <c r="D13" s="3753"/>
      <c r="E13" s="131" t="s">
        <v>1280</v>
      </c>
      <c r="F13" s="1749"/>
      <c r="G13" s="1749"/>
      <c r="H13" s="1749"/>
      <c r="I13" s="1365"/>
    </row>
    <row r="14" spans="1:12" ht="12.75" customHeight="1">
      <c r="A14" s="3730" t="s">
        <v>1281</v>
      </c>
      <c r="B14" s="3717">
        <v>30</v>
      </c>
      <c r="C14" s="3733">
        <v>5</v>
      </c>
      <c r="D14" s="3733">
        <v>5</v>
      </c>
      <c r="E14" s="131" t="s">
        <v>1282</v>
      </c>
      <c r="F14" s="1749"/>
      <c r="G14" s="1749"/>
      <c r="H14" s="1749"/>
      <c r="I14" s="1365"/>
    </row>
    <row r="15" spans="1:12" ht="12.75" customHeight="1">
      <c r="A15" s="3730"/>
      <c r="B15" s="3717"/>
      <c r="C15" s="3734"/>
      <c r="D15" s="3734"/>
      <c r="E15" s="131" t="s">
        <v>1283</v>
      </c>
      <c r="F15" s="1749"/>
      <c r="G15" s="1749"/>
      <c r="H15" s="1749"/>
      <c r="I15" s="1365"/>
    </row>
    <row r="16" spans="1:12" ht="12.75" customHeight="1">
      <c r="A16" s="3730"/>
      <c r="B16" s="3717"/>
      <c r="C16" s="3735"/>
      <c r="D16" s="3735"/>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40" t="s">
        <v>2130</v>
      </c>
      <c r="F18" s="3741"/>
      <c r="G18" s="3741"/>
      <c r="H18" s="3741"/>
      <c r="I18" s="3741"/>
      <c r="K18" s="302" t="s">
        <v>1289</v>
      </c>
      <c r="L18" s="302">
        <f>IF(C1="",'数据-汇总表'!E3,SUMIF(项目类型,C1,'数据-汇总表'!E17:E26)+SUMIF(项目类型,C1,'数据-汇总表'!I17:I26))</f>
        <v>1121.54</v>
      </c>
      <c r="M18" s="302">
        <f>IF(C1="",'数据-汇总表'!E3,SUMIF(项目类型,C1,'数据-汇总表'!E17:E26))</f>
        <v>1121.54</v>
      </c>
    </row>
    <row r="19" spans="1:36" ht="15">
      <c r="A19" s="1753" t="s">
        <v>1290</v>
      </c>
      <c r="B19" s="1754" t="s">
        <v>1291</v>
      </c>
      <c r="C19" s="134">
        <f ca="1">SUMIF(INDIRECT("'"&amp;C4&amp;"'"&amp;"!A:A"),结果表办!B19,INDIRECT("'"&amp;C4&amp;"'"&amp;"!B:B"))</f>
        <v>3331.9832000000001</v>
      </c>
      <c r="D19" s="135">
        <f ca="1">SUMIF(INDIRECT("'"&amp;D4&amp;"'"&amp;"!A:A"),结果表办!B19,INDIRECT("'"&amp;D4&amp;"'"&amp;"!B:B"))</f>
        <v>1689.7769000000001</v>
      </c>
      <c r="E19" s="1753" t="s">
        <v>1292</v>
      </c>
      <c r="F19" s="1754" t="s">
        <v>1291</v>
      </c>
      <c r="G19" s="136">
        <f ca="1">ROUND(C19*$C$18+D19*$D$18,0)</f>
        <v>2511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29709</v>
      </c>
      <c r="D20" s="138">
        <f ca="1">SUMIF(INDIRECT("'"&amp;D4&amp;"'"&amp;"!A:A"),结果表办!B20,INDIRECT("'"&amp;D4&amp;"'"&amp;"!B:B"))</f>
        <v>15067</v>
      </c>
      <c r="E20" s="1756"/>
      <c r="F20" s="1018" t="s">
        <v>1295</v>
      </c>
      <c r="G20" s="139">
        <f ca="1">ROUND(C20*$C$18+D20*$D$18,0)</f>
        <v>22388</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0.97184799957911605</v>
      </c>
      <c r="E22" s="129"/>
      <c r="F22" s="129"/>
      <c r="G22" s="129"/>
      <c r="H22" s="129"/>
      <c r="I22" s="129"/>
    </row>
    <row r="23" spans="1:36" ht="13.5" thickBot="1">
      <c r="A23" s="1739"/>
      <c r="B23" s="1739"/>
      <c r="C23" s="1739"/>
      <c r="D23" s="1739"/>
      <c r="E23" s="129"/>
      <c r="F23" s="129"/>
      <c r="G23" s="129"/>
      <c r="H23" s="129"/>
      <c r="I23" s="129"/>
    </row>
    <row r="24" spans="1:36" ht="14.25">
      <c r="A24" s="3724" t="s">
        <v>1299</v>
      </c>
      <c r="B24" s="1754" t="s">
        <v>1291</v>
      </c>
      <c r="C24" s="136">
        <f>IF(B30=0,0,D30)</f>
        <v>0</v>
      </c>
      <c r="D24" s="1761"/>
      <c r="E24" s="129"/>
      <c r="F24" s="129"/>
      <c r="G24" s="129"/>
      <c r="H24" s="129"/>
      <c r="I24" s="129"/>
    </row>
    <row r="25" spans="1:36" ht="14.25">
      <c r="A25" s="3725"/>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22388</v>
      </c>
      <c r="D32" s="3555" t="s">
        <v>4251</v>
      </c>
      <c r="E32" s="129"/>
      <c r="F32" s="129"/>
      <c r="G32" s="129"/>
      <c r="H32" s="129"/>
      <c r="I32" s="129"/>
    </row>
    <row r="33" spans="1:15" ht="15">
      <c r="A33" s="778" t="s">
        <v>1306</v>
      </c>
      <c r="B33" s="1767"/>
      <c r="C33" s="1768" t="s">
        <v>4252</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44" t="s">
        <v>1312</v>
      </c>
      <c r="B36" s="1778" t="s">
        <v>1313</v>
      </c>
      <c r="C36" s="145"/>
      <c r="D36" s="1779"/>
      <c r="E36" s="1780"/>
      <c r="F36" s="1781"/>
      <c r="G36" s="129"/>
      <c r="H36" s="129"/>
      <c r="I36" s="129"/>
    </row>
    <row r="37" spans="1:15" ht="15.75" thickBot="1">
      <c r="A37" s="3745"/>
      <c r="B37" s="1666" t="s">
        <v>1314</v>
      </c>
      <c r="C37" s="147"/>
      <c r="D37" s="1131"/>
      <c r="E37" s="1131"/>
      <c r="F37" s="1781"/>
      <c r="G37" s="129"/>
      <c r="H37" s="129"/>
      <c r="I37" s="129"/>
    </row>
    <row r="38" spans="1:15" ht="15.75" thickBot="1">
      <c r="A38" s="3746"/>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21" t="s">
        <v>1326</v>
      </c>
      <c r="B45" s="3722"/>
      <c r="C45" s="3723"/>
      <c r="D45" s="155">
        <f ca="1">ROUND(H101*F45,0)</f>
        <v>2511</v>
      </c>
      <c r="E45" s="156" t="s">
        <v>1327</v>
      </c>
      <c r="F45" s="157">
        <v>1</v>
      </c>
      <c r="G45" s="158" t="s">
        <v>1328</v>
      </c>
      <c r="H45" s="129"/>
      <c r="I45" s="129"/>
      <c r="J45" s="3799" t="s">
        <v>1329</v>
      </c>
      <c r="K45" s="3799"/>
      <c r="L45" s="3799"/>
      <c r="M45" s="3799"/>
      <c r="N45" s="3799"/>
      <c r="O45" s="3799"/>
    </row>
    <row r="46" spans="1:15" ht="14.25" customHeight="1">
      <c r="A46" s="3718" t="s">
        <v>1330</v>
      </c>
      <c r="B46" s="3719"/>
      <c r="C46" s="3719"/>
      <c r="D46" s="3719"/>
      <c r="E46" s="3719"/>
      <c r="F46" s="3719"/>
      <c r="G46" s="3720"/>
      <c r="H46" s="1797"/>
      <c r="I46" s="159"/>
      <c r="J46" s="3498">
        <v>1</v>
      </c>
      <c r="K46" s="3780" t="s">
        <v>1331</v>
      </c>
      <c r="L46" s="3780"/>
      <c r="M46" s="3800"/>
      <c r="N46" s="3800"/>
      <c r="O46" s="3800"/>
    </row>
    <row r="47" spans="1:15" ht="12" customHeight="1">
      <c r="A47" s="160" t="s">
        <v>1332</v>
      </c>
      <c r="B47" s="161"/>
      <c r="C47" s="162"/>
      <c r="D47" s="1079" t="s">
        <v>1333</v>
      </c>
      <c r="E47" s="302" t="s">
        <v>1334</v>
      </c>
      <c r="F47" s="163" t="s">
        <v>1335</v>
      </c>
      <c r="G47" s="2531" t="s">
        <v>1336</v>
      </c>
      <c r="H47" s="2532"/>
      <c r="I47" s="159"/>
      <c r="J47" s="3498">
        <v>2</v>
      </c>
      <c r="K47" s="3780" t="s">
        <v>1337</v>
      </c>
      <c r="L47" s="3780"/>
      <c r="M47" s="3801">
        <f>'数据-取费表'!B2</f>
        <v>45320</v>
      </c>
      <c r="N47" s="3801"/>
      <c r="O47" s="3801"/>
    </row>
    <row r="48" spans="1:15" ht="25.5">
      <c r="A48" s="3749" t="s">
        <v>1338</v>
      </c>
      <c r="B48" s="3732"/>
      <c r="C48" s="3732"/>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80" t="s">
        <v>1340</v>
      </c>
      <c r="L48" s="3780"/>
      <c r="M48" s="3802">
        <f ca="1">H101</f>
        <v>2511</v>
      </c>
      <c r="N48" s="3802"/>
      <c r="O48" s="3802"/>
    </row>
    <row r="49" spans="1:35" ht="25.5" customHeight="1">
      <c r="A49" s="3493" t="s">
        <v>1341</v>
      </c>
      <c r="B49" s="3716" t="s">
        <v>1342</v>
      </c>
      <c r="C49" s="3716"/>
      <c r="D49" s="1582">
        <v>0</v>
      </c>
      <c r="E49" s="324" t="s">
        <v>1343</v>
      </c>
      <c r="F49" s="3481" t="s">
        <v>28</v>
      </c>
      <c r="G49" s="3786"/>
      <c r="H49" s="2298" t="s">
        <v>2133</v>
      </c>
      <c r="I49" s="2299"/>
      <c r="J49" s="3498">
        <v>4</v>
      </c>
      <c r="K49" s="3780" t="str">
        <f>IF(项目基本情况!E8="房地产抵押价值","房地产抵押价值","抵押担保权已注销时的房地产抵押价值")</f>
        <v>房地产抵押价值</v>
      </c>
      <c r="L49" s="3780"/>
      <c r="M49" s="3802">
        <f ca="1">IF(项目基本情况!E8="房地产抵押价值",H107,H109)</f>
        <v>2511</v>
      </c>
      <c r="N49" s="3802"/>
      <c r="O49" s="3802"/>
    </row>
    <row r="50" spans="1:35" ht="25.5" customHeight="1">
      <c r="A50" s="2536"/>
      <c r="B50" s="3716" t="s">
        <v>1344</v>
      </c>
      <c r="C50" s="3716"/>
      <c r="D50" s="2537"/>
      <c r="E50" s="332"/>
      <c r="F50" s="3481"/>
      <c r="G50" s="3787"/>
      <c r="H50" s="2300" t="s">
        <v>2134</v>
      </c>
      <c r="I50" s="2299"/>
      <c r="J50" s="3799" t="s">
        <v>1345</v>
      </c>
      <c r="K50" s="3799"/>
      <c r="L50" s="3799"/>
      <c r="M50" s="3799"/>
      <c r="N50" s="3799"/>
      <c r="O50" s="3799"/>
    </row>
    <row r="51" spans="1:35" ht="20.45" customHeight="1">
      <c r="A51" s="2538"/>
      <c r="B51" s="3716" t="s">
        <v>1346</v>
      </c>
      <c r="C51" s="3716"/>
      <c r="D51" s="1079"/>
      <c r="E51" s="327"/>
      <c r="F51" s="3481"/>
      <c r="G51" s="3788"/>
      <c r="H51" s="2300" t="s">
        <v>2135</v>
      </c>
      <c r="I51" s="2299"/>
      <c r="J51" s="3497" t="s">
        <v>1347</v>
      </c>
      <c r="K51" s="3780" t="s">
        <v>1348</v>
      </c>
      <c r="L51" s="3780"/>
      <c r="M51" s="3497" t="s">
        <v>1349</v>
      </c>
      <c r="N51" s="3497" t="s">
        <v>1350</v>
      </c>
      <c r="O51" s="3497" t="s">
        <v>1351</v>
      </c>
    </row>
    <row r="52" spans="1:35" ht="24" customHeight="1">
      <c r="A52" s="3488" t="s">
        <v>1352</v>
      </c>
      <c r="B52" s="3716" t="s">
        <v>1353</v>
      </c>
      <c r="C52" s="3716"/>
      <c r="D52" s="1079">
        <f ca="1">ROUND(D45*'数据-取费表'!B41/(1+'数据-取费表'!C42),0)</f>
        <v>132</v>
      </c>
      <c r="E52" s="3489" t="s">
        <v>1354</v>
      </c>
      <c r="F52" s="2539">
        <f>'数据-取费表'!B41</f>
        <v>5.5000000000000007E-2</v>
      </c>
      <c r="G52" s="2540"/>
      <c r="H52" s="2529"/>
      <c r="I52" s="1798"/>
      <c r="J52" s="3498">
        <v>1</v>
      </c>
      <c r="K52" s="3781" t="s">
        <v>1355</v>
      </c>
      <c r="L52" s="3781"/>
      <c r="M52" s="2510" t="b">
        <f>D48</f>
        <v>0</v>
      </c>
      <c r="N52" s="3498" t="str">
        <f>E48</f>
        <v>销售额×税（费）率</v>
      </c>
      <c r="O52" s="2511">
        <f>F48</f>
        <v>5.5000000000000007E-2</v>
      </c>
    </row>
    <row r="53" spans="1:35" ht="12" customHeight="1">
      <c r="A53" s="3488" t="s">
        <v>1356</v>
      </c>
      <c r="B53" s="3742" t="s">
        <v>2286</v>
      </c>
      <c r="C53" s="3743"/>
      <c r="D53" s="1079">
        <f ca="1">ROUND(D45*'数据-取费表'!B41/(1+'数据-取费表'!C42),0)</f>
        <v>132</v>
      </c>
      <c r="E53" s="3489" t="s">
        <v>1354</v>
      </c>
      <c r="F53" s="2539">
        <f>'数据-取费表'!B41</f>
        <v>5.5000000000000007E-2</v>
      </c>
      <c r="G53" s="2540"/>
      <c r="H53" s="2529"/>
      <c r="I53" s="1798"/>
      <c r="J53" s="3498">
        <v>2</v>
      </c>
      <c r="K53" s="3781" t="s">
        <v>1357</v>
      </c>
      <c r="L53" s="3781"/>
      <c r="M53" s="2510">
        <f t="shared" ref="M53:O54" ca="1" si="0">D55</f>
        <v>1</v>
      </c>
      <c r="N53" s="3498" t="str">
        <f t="shared" si="0"/>
        <v>销售额×税（费）率</v>
      </c>
      <c r="O53" s="2511" t="str">
        <f t="shared" si="0"/>
        <v>免征</v>
      </c>
    </row>
    <row r="54" spans="1:35" ht="12" customHeight="1">
      <c r="A54" s="3488" t="s">
        <v>1358</v>
      </c>
      <c r="B54" s="3742" t="s">
        <v>2287</v>
      </c>
      <c r="C54" s="3743"/>
      <c r="D54" s="1079">
        <f ca="1">C68</f>
        <v>132</v>
      </c>
      <c r="E54" s="327" t="s">
        <v>1359</v>
      </c>
      <c r="F54" s="2539">
        <f>'数据-取费表'!B41</f>
        <v>5.5000000000000007E-2</v>
      </c>
      <c r="G54" s="2540"/>
      <c r="H54" s="2541"/>
      <c r="I54" s="1798"/>
      <c r="J54" s="3498">
        <v>3</v>
      </c>
      <c r="K54" s="3781" t="s">
        <v>1360</v>
      </c>
      <c r="L54" s="3781"/>
      <c r="M54" s="2510">
        <f t="shared" ca="1" si="0"/>
        <v>1423</v>
      </c>
      <c r="N54" s="3498" t="str">
        <f t="shared" si="0"/>
        <v>增值额×税（费）率</v>
      </c>
      <c r="O54" s="2512" t="str">
        <f t="shared" si="0"/>
        <v>免征</v>
      </c>
    </row>
    <row r="55" spans="1:35" ht="24" customHeight="1">
      <c r="A55" s="3731" t="s">
        <v>1361</v>
      </c>
      <c r="B55" s="3732"/>
      <c r="C55" s="3732"/>
      <c r="D55" s="3500">
        <f ca="1">IF(H55="个人住宅",0,ROUND(D45*I55,0))</f>
        <v>1</v>
      </c>
      <c r="E55" s="3489" t="s">
        <v>1362</v>
      </c>
      <c r="F55" s="2539" t="str">
        <f>IF(H55="正常",I55,"免征")</f>
        <v>免征</v>
      </c>
      <c r="G55" s="2540"/>
      <c r="H55" s="2535"/>
      <c r="I55" s="165">
        <f>'数据-取费表'!B49</f>
        <v>5.0000000000000001E-4</v>
      </c>
      <c r="J55" s="3498">
        <f>IF(H59="非个人房产","",4)</f>
        <v>4</v>
      </c>
      <c r="K55" s="3781" t="str">
        <f>IF(H59="非个人房产","——","个人所得税")</f>
        <v>个人所得税</v>
      </c>
      <c r="L55" s="3781"/>
      <c r="M55" s="2513">
        <f ca="1">D59</f>
        <v>24</v>
      </c>
      <c r="N55" s="3499" t="str">
        <f>E59</f>
        <v>差额计税</v>
      </c>
      <c r="O55" s="2514">
        <f>F59</f>
        <v>0.01</v>
      </c>
    </row>
    <row r="56" spans="1:35" ht="24.75">
      <c r="A56" s="3731" t="s">
        <v>1363</v>
      </c>
      <c r="B56" s="3732"/>
      <c r="C56" s="3732"/>
      <c r="D56" s="3500">
        <f ca="1">IF(H56="个人住宅",D57,D58)</f>
        <v>1423</v>
      </c>
      <c r="E56" s="3489" t="s">
        <v>1364</v>
      </c>
      <c r="F56" s="2539" t="str">
        <f>IF(H56="正常",F58,"免征")</f>
        <v>免征</v>
      </c>
      <c r="G56" s="2542" t="s">
        <v>1365</v>
      </c>
      <c r="H56" s="2543"/>
      <c r="I56" s="1799"/>
      <c r="J56" s="3498" t="str">
        <f>IF(项目基本情况!K6="上海银行",IF(J55="",4,J55+1),"")</f>
        <v/>
      </c>
      <c r="K56" s="3804" t="str">
        <f>IF(项目基本情况!K6="上海银行","其他处置费用","")</f>
        <v/>
      </c>
      <c r="L56" s="3805"/>
      <c r="M56" s="2510" t="str">
        <f>IF(项目基本情况!K6="上海银行",M69,"")</f>
        <v/>
      </c>
      <c r="N56" s="3804" t="str">
        <f>IF(项目基本情况!K6="上海银行","包含处置中涉及的律师、诉讼、拍卖、评估等费用","")</f>
        <v/>
      </c>
      <c r="O56" s="3807"/>
    </row>
    <row r="57" spans="1:35" ht="12.75">
      <c r="A57" s="3488" t="s">
        <v>1341</v>
      </c>
      <c r="B57" s="3742" t="s">
        <v>1366</v>
      </c>
      <c r="C57" s="3743"/>
      <c r="D57" s="1582">
        <v>0</v>
      </c>
      <c r="E57" s="324" t="s">
        <v>1343</v>
      </c>
      <c r="F57" s="302"/>
      <c r="G57" s="2540"/>
      <c r="H57" s="2544"/>
      <c r="I57" s="1799"/>
      <c r="J57" s="3781">
        <f>IF(AND(J55="",J56=""),4,IF(项目基本情况!K6="上海银行",结果表办!J56+1,结果表办!J55+1))</f>
        <v>5</v>
      </c>
      <c r="K57" s="3781" t="s">
        <v>1367</v>
      </c>
      <c r="L57" s="2515" t="s">
        <v>1368</v>
      </c>
      <c r="M57" s="2516"/>
      <c r="N57" s="2517">
        <f ca="1">SUMIF(M52:M56,"&lt;9e307")</f>
        <v>1448</v>
      </c>
      <c r="O57" s="2518"/>
      <c r="P57" s="2674">
        <f ca="1">N57/M49</f>
        <v>0.5766626841895659</v>
      </c>
    </row>
    <row r="58" spans="1:35" ht="24.75">
      <c r="A58" s="3488" t="s">
        <v>1352</v>
      </c>
      <c r="B58" s="3742" t="s">
        <v>1369</v>
      </c>
      <c r="C58" s="3716"/>
      <c r="D58" s="3500">
        <f ca="1">IF(H58="转让取得",C81,C97)</f>
        <v>1423</v>
      </c>
      <c r="E58" s="3489" t="s">
        <v>1364</v>
      </c>
      <c r="F58" s="302" t="s">
        <v>28</v>
      </c>
      <c r="G58" s="2540"/>
      <c r="H58" s="2543"/>
      <c r="I58" s="1799"/>
      <c r="J58" s="3781"/>
      <c r="K58" s="3781"/>
      <c r="L58" s="2515" t="s">
        <v>1370</v>
      </c>
      <c r="M58" s="2519"/>
      <c r="N58" s="2520" t="str">
        <f ca="1">NUMBERSTRING(INT(N57*10000),2)&amp;"元整"</f>
        <v>壹仟肆佰肆拾捌万元整</v>
      </c>
      <c r="O58" s="2521"/>
    </row>
    <row r="59" spans="1:35" ht="24.75" thickBot="1">
      <c r="A59" s="3784" t="s">
        <v>1371</v>
      </c>
      <c r="B59" s="3785"/>
      <c r="C59" s="3785"/>
      <c r="D59" s="2545">
        <f ca="1">IF(H59="非个人房产","——",IF(H59="个人住宅（满五唯一有凭证）",0,IF(H59="个人其他（无凭证）",ROUND(D45*F59,0),ROUND(C67*F59,0))))</f>
        <v>24</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82">
        <f>J57+1</f>
        <v>6</v>
      </c>
      <c r="K59" s="3781" t="s">
        <v>1372</v>
      </c>
      <c r="L59" s="3498" t="s">
        <v>1368</v>
      </c>
      <c r="M59" s="2522"/>
      <c r="N59" s="2523">
        <f ca="1">M49-N57</f>
        <v>1063</v>
      </c>
      <c r="O59" s="2524"/>
    </row>
    <row r="60" spans="1:35" ht="12" customHeight="1">
      <c r="A60" s="1800"/>
      <c r="B60" s="1739"/>
      <c r="C60" s="1739"/>
      <c r="D60" s="1739"/>
      <c r="E60" s="1570"/>
      <c r="F60" s="1799"/>
      <c r="G60" s="1799"/>
      <c r="H60" s="1801"/>
      <c r="I60" s="129"/>
      <c r="J60" s="3783"/>
      <c r="K60" s="3781"/>
      <c r="L60" s="2515" t="s">
        <v>1370</v>
      </c>
      <c r="M60" s="2519"/>
      <c r="N60" s="2520" t="str">
        <f ca="1">NUMBERSTRING(INT(N59*10000),2)&amp;"元整"</f>
        <v>壹仟零陆拾叁万元整</v>
      </c>
      <c r="O60" s="2521"/>
    </row>
    <row r="61" spans="1:35" ht="13.5" thickBot="1">
      <c r="A61" s="3729" t="s">
        <v>1373</v>
      </c>
      <c r="B61" s="3729"/>
      <c r="C61" s="3729"/>
      <c r="D61" s="3729"/>
      <c r="E61" s="3729"/>
      <c r="F61" s="1799"/>
      <c r="G61" s="1799"/>
      <c r="H61" s="1801"/>
      <c r="I61" s="129"/>
      <c r="J61" s="3498">
        <f>J59+1</f>
        <v>7</v>
      </c>
      <c r="K61" s="3781" t="s">
        <v>1374</v>
      </c>
      <c r="L61" s="3781"/>
      <c r="M61" s="2525"/>
      <c r="N61" s="2526">
        <f ca="1">ROUND(N59*10000/'数据-汇总表'!E3,0)</f>
        <v>7782</v>
      </c>
      <c r="O61" s="2527"/>
    </row>
    <row r="62" spans="1:35" ht="12.75">
      <c r="A62" s="3747" t="s">
        <v>1375</v>
      </c>
      <c r="B62" s="3748"/>
      <c r="C62" s="3492"/>
      <c r="D62" s="3492" t="s">
        <v>1376</v>
      </c>
      <c r="E62" s="166" t="s">
        <v>1377</v>
      </c>
      <c r="F62" s="1799"/>
      <c r="G62" s="1799"/>
      <c r="H62" s="1801"/>
      <c r="I62" s="129"/>
    </row>
    <row r="63" spans="1:35" ht="12.75">
      <c r="A63" s="173" t="s">
        <v>330</v>
      </c>
      <c r="B63" s="167" t="s">
        <v>1378</v>
      </c>
      <c r="C63" s="2549">
        <f ca="1">ROUND((C64+C65)/(1+'数据-取费表'!C42),0)</f>
        <v>2391</v>
      </c>
      <c r="D63" s="167"/>
      <c r="E63" s="168"/>
      <c r="F63" s="1799"/>
      <c r="G63" s="1799"/>
      <c r="H63" s="1801"/>
      <c r="I63" s="129"/>
      <c r="J63" s="3806" t="s">
        <v>1379</v>
      </c>
      <c r="K63" s="3501" t="s">
        <v>1380</v>
      </c>
      <c r="L63" s="3501">
        <f ca="1">IF(M49&gt;10000,M49*0.5%,IF(AND(M49&gt;1000,M49&lt;=10000),M49*1%,IF(AND(M49&gt;100,M49&lt;=1000),M49*3%,IF(AND(M49&gt;10,M49&lt;=100),M49*5%,M49*8%))))</f>
        <v>25.11</v>
      </c>
      <c r="M63" s="302">
        <f ca="1">ROUND(L63,1)</f>
        <v>25.1</v>
      </c>
      <c r="N63" s="2528"/>
      <c r="Z63" s="1744"/>
      <c r="AI63" s="1745"/>
    </row>
    <row r="64" spans="1:35" ht="14.25" customHeight="1">
      <c r="A64" s="169" t="s">
        <v>325</v>
      </c>
      <c r="B64" s="170" t="s">
        <v>1381</v>
      </c>
      <c r="C64" s="2550">
        <f ca="1">D45</f>
        <v>2511</v>
      </c>
      <c r="D64" s="170" t="s">
        <v>26</v>
      </c>
      <c r="E64" s="172"/>
      <c r="F64" s="1799"/>
      <c r="G64" s="1799"/>
      <c r="H64" s="1801"/>
      <c r="I64" s="129"/>
      <c r="J64" s="3806"/>
      <c r="K64" s="3501" t="s">
        <v>1382</v>
      </c>
      <c r="L64" s="3501">
        <f ca="1">IF(M49&gt;2000,M49*0.5%,IF(AND(M49&gt;1000,M49&lt;=2000),M49*0.6%,IF(AND(M49&gt;500,M49&lt;=1000),M49*0.7%,IF(AND(M49&gt;200,M49&lt;=500),M49*0.8%,IF(AND(M49&gt;100,M49&lt;=200),M49*0.9%,IF(AND(M49&gt;50,M49&lt;=100),M49*1%,IF(AND(M49&gt;20,M49&lt;=50),M49*1.5%,IF(AND(M49&gt;10,M49&lt;=20),M49*2%,IF(AND(M49&gt;1,M49&lt;=10),M49*2.5%)))))))))</f>
        <v>12.555</v>
      </c>
      <c r="M64" s="302">
        <f t="shared" ref="M64:M65" ca="1" si="1">ROUND(L64,1)</f>
        <v>12.6</v>
      </c>
      <c r="N64" s="2529" t="s">
        <v>1383</v>
      </c>
      <c r="Z64" s="1744"/>
      <c r="AI64" s="1745"/>
    </row>
    <row r="65" spans="1:35" ht="14.25" customHeight="1">
      <c r="A65" s="169" t="s">
        <v>326</v>
      </c>
      <c r="B65" s="170" t="s">
        <v>1384</v>
      </c>
      <c r="C65" s="2551"/>
      <c r="D65" s="170"/>
      <c r="E65" s="172"/>
      <c r="F65" s="1799"/>
      <c r="G65" s="1799"/>
      <c r="H65" s="1801"/>
      <c r="I65" s="129"/>
      <c r="J65" s="3806"/>
      <c r="K65" s="3501" t="s">
        <v>1385</v>
      </c>
      <c r="L65" s="3501">
        <f ca="1">IF(M49&gt;1000,M49*0.1%,IF(AND(M49&gt;500,M49&lt;=1000),M49*0.5%,IF(AND(M49&gt;50,M49&lt;=500),M49*1%,IF(AND(M49&gt;1,M49&lt;=50),M49*1.5%))))</f>
        <v>2.5110000000000001</v>
      </c>
      <c r="M65" s="302">
        <f t="shared" ca="1" si="1"/>
        <v>2.5</v>
      </c>
      <c r="N65" s="2529" t="s">
        <v>1383</v>
      </c>
      <c r="Z65" s="1744"/>
      <c r="AI65" s="1745"/>
    </row>
    <row r="66" spans="1:35" ht="14.25" customHeight="1">
      <c r="A66" s="173" t="s">
        <v>327</v>
      </c>
      <c r="B66" s="174" t="s">
        <v>1386</v>
      </c>
      <c r="C66" s="2552"/>
      <c r="D66" s="174" t="s">
        <v>26</v>
      </c>
      <c r="E66" s="1330" t="s">
        <v>671</v>
      </c>
      <c r="F66" s="1799"/>
      <c r="G66" s="1799"/>
      <c r="H66" s="1801"/>
      <c r="I66" s="129"/>
      <c r="J66" s="3806"/>
      <c r="K66" s="3501" t="s">
        <v>1387</v>
      </c>
      <c r="L66" s="3501">
        <f ca="1">M49*0.5%</f>
        <v>12.555</v>
      </c>
      <c r="M66" s="302">
        <f ca="1">IF(L66&gt;0.5,0.5,ROUND(L66,0))</f>
        <v>0.5</v>
      </c>
      <c r="N66" s="2529" t="s">
        <v>1388</v>
      </c>
      <c r="Z66" s="1744"/>
      <c r="AI66" s="1745"/>
    </row>
    <row r="67" spans="1:35" ht="14.25" customHeight="1">
      <c r="A67" s="173" t="s">
        <v>328</v>
      </c>
      <c r="B67" s="174" t="s">
        <v>1389</v>
      </c>
      <c r="C67" s="2553">
        <f ca="1">C63-C66</f>
        <v>2391</v>
      </c>
      <c r="D67" s="170" t="s">
        <v>26</v>
      </c>
      <c r="E67" s="172"/>
      <c r="F67" s="1799"/>
      <c r="G67" s="1799"/>
      <c r="H67" s="1801"/>
      <c r="I67" s="129"/>
      <c r="J67" s="3806"/>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132</v>
      </c>
      <c r="D68" s="2555">
        <f>'数据-取费表'!B41</f>
        <v>5.5000000000000007E-2</v>
      </c>
      <c r="E68" s="178"/>
      <c r="F68" s="1799"/>
      <c r="G68" s="1799"/>
      <c r="H68" s="1801"/>
      <c r="I68" s="129"/>
      <c r="J68" s="3806"/>
      <c r="K68" s="3501" t="s">
        <v>1392</v>
      </c>
      <c r="L68" s="3501">
        <f ca="1">IF(M49&gt;10000,M49*0.5%,IF(AND(M49&gt;5000,M49&lt;=10000),M49*1%,IF(AND(M49&gt;1000,M49&lt;=5000),M49*2%,IF(AND(M49&gt;200,M49&lt;=1000),M49*3%,M49*5%))))</f>
        <v>50.22</v>
      </c>
      <c r="M68" s="302">
        <f ca="1">ROUND(L68,1)</f>
        <v>50.2</v>
      </c>
      <c r="N68" s="2528"/>
      <c r="Z68" s="1744"/>
      <c r="AI68" s="1745"/>
    </row>
    <row r="69" spans="1:35" s="1764" customFormat="1" ht="16.5" customHeight="1">
      <c r="A69" s="1802"/>
      <c r="B69" s="1803"/>
      <c r="C69" s="1804"/>
      <c r="D69" s="1805"/>
      <c r="E69" s="1806"/>
      <c r="F69" s="1570"/>
      <c r="G69" s="1570"/>
      <c r="H69" s="1569"/>
      <c r="I69" s="1739"/>
      <c r="J69" s="3806"/>
      <c r="K69" s="3501" t="s">
        <v>1393</v>
      </c>
      <c r="L69" s="3501"/>
      <c r="M69" s="302">
        <f ca="1">ROUND(SUM(M63:M68),0)</f>
        <v>93</v>
      </c>
      <c r="N69" s="2530">
        <f ca="1">M69/M49</f>
        <v>3.7037037037037035E-2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8" t="s">
        <v>1394</v>
      </c>
      <c r="B70" s="3769"/>
      <c r="C70" s="3769"/>
      <c r="D70" s="3769"/>
      <c r="E70" s="3769"/>
      <c r="F70" s="3769"/>
      <c r="G70" s="3769"/>
      <c r="H70" s="376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47" t="s">
        <v>1375</v>
      </c>
      <c r="B71" s="3748"/>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2391</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12</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42" t="s">
        <v>1402</v>
      </c>
      <c r="F76" s="3716"/>
      <c r="G76" s="3716"/>
      <c r="H76" s="376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12</v>
      </c>
      <c r="D78" s="2562">
        <f>'数据-取费表'!B43</f>
        <v>5.000000000000001E-3</v>
      </c>
      <c r="E78" s="3726" t="s">
        <v>1406</v>
      </c>
      <c r="F78" s="3727"/>
      <c r="G78" s="3727"/>
      <c r="H78" s="373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2379</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198.25</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1423</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8" t="s">
        <v>1410</v>
      </c>
      <c r="B83" s="3769"/>
      <c r="C83" s="3769"/>
      <c r="D83" s="3769"/>
      <c r="E83" s="3769"/>
      <c r="F83" s="3769"/>
      <c r="G83" s="3769"/>
      <c r="H83" s="376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47" t="s">
        <v>1375</v>
      </c>
      <c r="B84" s="3748"/>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2391</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12</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808" t="s">
        <v>2128</v>
      </c>
      <c r="H90" s="3809"/>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6" t="s">
        <v>1419</v>
      </c>
      <c r="F91" s="3727"/>
      <c r="G91" s="372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6" t="s">
        <v>1422</v>
      </c>
      <c r="F92" s="3727"/>
      <c r="G92" s="3727"/>
      <c r="H92" s="3736"/>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12</v>
      </c>
      <c r="D93" s="2562">
        <f>'数据-取费表'!B43</f>
        <v>5.000000000000001E-3</v>
      </c>
      <c r="E93" s="3726" t="s">
        <v>1406</v>
      </c>
      <c r="F93" s="3727"/>
      <c r="G93" s="3727"/>
      <c r="H93" s="373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37" t="s">
        <v>1426</v>
      </c>
      <c r="F94" s="3738"/>
      <c r="G94" s="3738"/>
      <c r="H94" s="373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2379</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198.25</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1423</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0" t="s">
        <v>1428</v>
      </c>
      <c r="B100" s="3711"/>
      <c r="C100" s="3711"/>
      <c r="D100" s="3728"/>
      <c r="E100" s="3711" t="s">
        <v>1429</v>
      </c>
      <c r="F100" s="3711"/>
      <c r="G100" s="3711"/>
      <c r="H100" s="3728"/>
      <c r="I100" s="129"/>
    </row>
    <row r="101" spans="1:35" ht="18.75" customHeight="1">
      <c r="A101" s="3789" t="s">
        <v>1430</v>
      </c>
      <c r="B101" s="3790"/>
      <c r="C101" s="2570" t="str">
        <f>C4</f>
        <v>比较法-办公</v>
      </c>
      <c r="D101" s="2571" t="str">
        <f>D4</f>
        <v>收益法 (办)</v>
      </c>
      <c r="E101" s="3803" t="s">
        <v>1431</v>
      </c>
      <c r="F101" s="3760"/>
      <c r="G101" s="1818" t="s">
        <v>1432</v>
      </c>
      <c r="H101" s="2580">
        <f ca="1">H118</f>
        <v>2511</v>
      </c>
      <c r="I101" s="129"/>
    </row>
    <row r="102" spans="1:35" ht="18.75" customHeight="1">
      <c r="A102" s="3762" t="s">
        <v>1433</v>
      </c>
      <c r="B102" s="2569" t="s">
        <v>1432</v>
      </c>
      <c r="C102" s="2570">
        <f ca="1">IF(D32="楼面单价",ROUND(C19,0),C19)</f>
        <v>3332</v>
      </c>
      <c r="D102" s="2571">
        <f ca="1">IF(D32="楼面单价",ROUND(D19,0),D19)</f>
        <v>1690</v>
      </c>
      <c r="E102" s="3803"/>
      <c r="F102" s="3760"/>
      <c r="G102" s="1818" t="s">
        <v>1434</v>
      </c>
      <c r="H102" s="2540">
        <f ca="1">I118</f>
        <v>22388</v>
      </c>
      <c r="I102" s="129"/>
    </row>
    <row r="103" spans="1:35" ht="42.75" customHeight="1">
      <c r="A103" s="3762"/>
      <c r="B103" s="2569" t="s">
        <v>1434</v>
      </c>
      <c r="C103" s="2572">
        <f ca="1">C20</f>
        <v>29709</v>
      </c>
      <c r="D103" s="2573">
        <f ca="1">D20</f>
        <v>15067</v>
      </c>
      <c r="E103" s="3797" t="s">
        <v>1435</v>
      </c>
      <c r="F103" s="3798"/>
      <c r="G103" s="1819" t="s">
        <v>1436</v>
      </c>
      <c r="H103" s="2580">
        <f>IF(D36="正常操作",H104+H105+H106,H105+H106)</f>
        <v>0</v>
      </c>
      <c r="I103" s="129"/>
    </row>
    <row r="104" spans="1:35" ht="18.75" customHeight="1">
      <c r="A104" s="3762" t="s">
        <v>1437</v>
      </c>
      <c r="B104" s="2574" t="s">
        <v>1432</v>
      </c>
      <c r="C104" s="2575">
        <f ca="1">H118</f>
        <v>2511</v>
      </c>
      <c r="D104" s="2576"/>
      <c r="E104" s="1666" t="s">
        <v>1438</v>
      </c>
      <c r="F104" s="1658"/>
      <c r="G104" s="1819" t="s">
        <v>1436</v>
      </c>
      <c r="H104" s="2581">
        <f>IF(D36="同一抵押权人同一抵押物续贷",C36&amp;"（续贷，未扣减，详见特别提示）",C36)</f>
        <v>0</v>
      </c>
      <c r="I104" s="129"/>
    </row>
    <row r="105" spans="1:35" ht="18.75" customHeight="1" thickBot="1">
      <c r="A105" s="3763"/>
      <c r="B105" s="2577" t="s">
        <v>1434</v>
      </c>
      <c r="C105" s="2578">
        <f ca="1">I118</f>
        <v>22388</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9" t="str">
        <f>IF(项目基本情况!E8="已注销","——","3.房地产抵押价值")</f>
        <v>3.房地产抵押价值</v>
      </c>
      <c r="F107" s="3760"/>
      <c r="G107" s="1818" t="s">
        <v>1432</v>
      </c>
      <c r="H107" s="2580">
        <f ca="1">IF(E107="——","——",H101-H103)</f>
        <v>2511</v>
      </c>
      <c r="I107" s="129"/>
    </row>
    <row r="108" spans="1:35" ht="18.75" customHeight="1">
      <c r="A108" s="129"/>
      <c r="B108" s="129"/>
      <c r="C108" s="129"/>
      <c r="D108" s="129"/>
      <c r="E108" s="3759"/>
      <c r="F108" s="3760"/>
      <c r="G108" s="1818" t="s">
        <v>1434</v>
      </c>
      <c r="H108" s="2540">
        <f ca="1">IF(H107=H101,H102,ROUND(H107*10000/'数据-汇总表'!E3,0))</f>
        <v>22388</v>
      </c>
      <c r="I108" s="129"/>
    </row>
    <row r="109" spans="1:35" ht="18.75" customHeight="1">
      <c r="A109" s="129"/>
      <c r="B109" s="129"/>
      <c r="C109" s="129"/>
      <c r="D109" s="129"/>
      <c r="E109" s="3759" t="str">
        <f>IF(项目基本情况!E8="已注销及未注销","4.抵押担保权已注销时的房地产抵押价值",IF(项目基本情况!E8="已注销","3.抵押担保权已注销时的房地产抵押价值","——"))</f>
        <v>——</v>
      </c>
      <c r="F109" s="3760"/>
      <c r="G109" s="1818" t="s">
        <v>1432</v>
      </c>
      <c r="H109" s="2583" t="str">
        <f>IF(E109="——","——",H101-H105-H106)</f>
        <v>——</v>
      </c>
      <c r="I109" s="129"/>
    </row>
    <row r="110" spans="1:35" ht="18.75" customHeight="1">
      <c r="A110" s="129"/>
      <c r="B110" s="129"/>
      <c r="C110" s="129"/>
      <c r="D110" s="129"/>
      <c r="E110" s="3759"/>
      <c r="F110" s="3760"/>
      <c r="G110" s="1818" t="s">
        <v>1434</v>
      </c>
      <c r="H110" s="2540" t="str">
        <f>IF(H109="——","——",ROUND(H109*10000/'数据-汇总表'!E3,0))</f>
        <v>——</v>
      </c>
      <c r="I110" s="129"/>
    </row>
    <row r="111" spans="1:35" ht="18.75" customHeight="1">
      <c r="A111" s="129"/>
      <c r="B111" s="129"/>
      <c r="C111" s="129"/>
      <c r="D111" s="129"/>
      <c r="E111" s="3791" t="str">
        <f>IF(项目基本情况!E9="抵押净值",IF(OR(项目基本情况!E8="已注销",项目基本情况!E8="房地产抵押价值"),"4.抵押净值","5.抵押净值"),"——")</f>
        <v>——</v>
      </c>
      <c r="F111" s="3761"/>
      <c r="G111" s="1818" t="s">
        <v>1432</v>
      </c>
      <c r="H111" s="2580" t="str">
        <f>IF(E111="——","——",N59)</f>
        <v>——</v>
      </c>
      <c r="I111" s="129"/>
    </row>
    <row r="112" spans="1:35" ht="18.75" customHeight="1" thickBot="1">
      <c r="A112" s="129"/>
      <c r="B112" s="129"/>
      <c r="C112" s="129"/>
      <c r="D112" s="129"/>
      <c r="E112" s="3792"/>
      <c r="F112" s="3793"/>
      <c r="G112" s="1821" t="s">
        <v>1434</v>
      </c>
      <c r="H112" s="2584" t="str">
        <f>IF(E111="——","——",N61)</f>
        <v>——</v>
      </c>
      <c r="I112" s="129"/>
    </row>
    <row r="113" spans="1:27" ht="18.75" customHeight="1">
      <c r="A113" s="129"/>
      <c r="B113" s="129"/>
      <c r="C113" s="129"/>
      <c r="D113" s="129"/>
      <c r="E113" s="3764" t="s">
        <v>1440</v>
      </c>
      <c r="F113" s="3764"/>
      <c r="G113" s="3764"/>
      <c r="H113" s="3764"/>
      <c r="I113" s="129"/>
    </row>
    <row r="114" spans="1:27" ht="3.75" customHeight="1">
      <c r="A114" s="1739"/>
      <c r="B114" s="1739"/>
      <c r="C114" s="1739"/>
      <c r="D114" s="1739"/>
      <c r="E114" s="1800"/>
      <c r="F114" s="1800"/>
      <c r="G114" s="1800"/>
      <c r="H114" s="1800"/>
      <c r="I114" s="1739"/>
    </row>
    <row r="115" spans="1:27" ht="18.75" customHeight="1">
      <c r="A115" s="3774" t="s">
        <v>1442</v>
      </c>
      <c r="B115" s="3775"/>
      <c r="C115" s="3775"/>
      <c r="D115" s="3775"/>
      <c r="E115" s="3775"/>
      <c r="F115" s="3775"/>
      <c r="G115" s="3775"/>
      <c r="H115" s="3775"/>
      <c r="I115" s="3776"/>
    </row>
    <row r="116" spans="1:27" ht="27" customHeight="1">
      <c r="A116" s="3730" t="s">
        <v>1443</v>
      </c>
      <c r="B116" s="3765" t="s">
        <v>1444</v>
      </c>
      <c r="C116" s="3765" t="s">
        <v>1445</v>
      </c>
      <c r="D116" s="3778" t="s">
        <v>1446</v>
      </c>
      <c r="E116" s="3779"/>
      <c r="F116" s="3773" t="s">
        <v>1447</v>
      </c>
      <c r="G116" s="3773"/>
      <c r="H116" s="3730" t="s">
        <v>1448</v>
      </c>
      <c r="I116" s="3730"/>
    </row>
    <row r="117" spans="1:27" ht="18.75" customHeight="1">
      <c r="A117" s="3730"/>
      <c r="B117" s="3766"/>
      <c r="C117" s="3766"/>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1121.54</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2511</v>
      </c>
      <c r="I118" s="3487">
        <f ca="1">ROUND(IF(D32="楼面单价",C32,H118*10000/B118),0)</f>
        <v>22388</v>
      </c>
    </row>
    <row r="119" spans="1:27" ht="18.75" customHeight="1">
      <c r="A119" s="3730" t="s">
        <v>1452</v>
      </c>
      <c r="B119" s="3730"/>
      <c r="C119" s="3730"/>
      <c r="D119" s="3770" t="str">
        <f>NUMBERSTRING(INT(D118*10000),2)&amp;"元整"</f>
        <v>零元整</v>
      </c>
      <c r="E119" s="3772"/>
      <c r="F119" s="3770" t="str">
        <f>NUMBERSTRING(INT(F118*10000),2)&amp;"元整"</f>
        <v>零元整</v>
      </c>
      <c r="G119" s="3772"/>
      <c r="H119" s="3770" t="str">
        <f ca="1">NUMBERSTRING(INT(H118*10000),2)&amp;"元整"</f>
        <v>贰仟伍佰壹拾壹万元整</v>
      </c>
      <c r="I119" s="3772"/>
    </row>
    <row r="120" spans="1:27" ht="18.75" customHeight="1">
      <c r="A120" s="3794" t="str">
        <f>IF(项目基本情况!B9="房地产市场价值","",MID(E103,3,LEN(E103)-2))</f>
        <v>估价师知悉的法定优先受偿款</v>
      </c>
      <c r="B120" s="3795"/>
      <c r="C120" s="3796"/>
      <c r="D120" s="3794">
        <f>H103</f>
        <v>0</v>
      </c>
      <c r="E120" s="3795"/>
      <c r="F120" s="3795"/>
      <c r="G120" s="3795"/>
      <c r="H120" s="3795"/>
      <c r="I120" s="3796"/>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70" t="s">
        <v>1452</v>
      </c>
      <c r="B121" s="3771"/>
      <c r="C121" s="3772"/>
      <c r="D121" s="3770" t="str">
        <f>IF(D120=0,"零元整",NUMBERSTRING(INT(D120*10000),2)&amp;"元整")</f>
        <v>零元整</v>
      </c>
      <c r="E121" s="3771"/>
      <c r="F121" s="3771"/>
      <c r="G121" s="3771"/>
      <c r="H121" s="3771"/>
      <c r="I121" s="3772"/>
      <c r="AA121" s="720"/>
    </row>
    <row r="122" spans="1:27" ht="18.75" customHeight="1">
      <c r="A122" s="3761" t="str">
        <f>IF(项目基本情况!B9="房地产市场价值","",MID(E107,3,LEN(E107)-2))</f>
        <v>房地产抵押价值</v>
      </c>
      <c r="B122" s="3761"/>
      <c r="C122" s="3761"/>
      <c r="D122" s="3794">
        <f ca="1">H107</f>
        <v>2511</v>
      </c>
      <c r="E122" s="3795"/>
      <c r="F122" s="3795"/>
      <c r="G122" s="3795"/>
      <c r="H122" s="3795"/>
      <c r="I122" s="3796"/>
      <c r="AA122" s="720"/>
    </row>
    <row r="123" spans="1:27" ht="18.75" customHeight="1">
      <c r="A123" s="3730" t="s">
        <v>1452</v>
      </c>
      <c r="B123" s="3730"/>
      <c r="C123" s="3730"/>
      <c r="D123" s="3770" t="str">
        <f ca="1">NUMBERSTRING(INT(D122*10000),2)&amp;"元整"</f>
        <v>贰仟伍佰壹拾壹万元整</v>
      </c>
      <c r="E123" s="3771"/>
      <c r="F123" s="3771"/>
      <c r="G123" s="3771"/>
      <c r="H123" s="3771"/>
      <c r="I123" s="3772"/>
      <c r="AA123" s="720"/>
    </row>
    <row r="124" spans="1:27" ht="18.75" customHeight="1">
      <c r="A124" s="3761" t="str">
        <f>IF(项目基本情况!B9="房地产市场价值","",MID(E109,3,LEN(E109)-2))</f>
        <v/>
      </c>
      <c r="B124" s="3761"/>
      <c r="C124" s="3761"/>
      <c r="D124" s="3794" t="str">
        <f>H109</f>
        <v>——</v>
      </c>
      <c r="E124" s="3795"/>
      <c r="F124" s="3795"/>
      <c r="G124" s="3795"/>
      <c r="H124" s="3795"/>
      <c r="I124" s="3796"/>
      <c r="AA124" s="720"/>
    </row>
    <row r="125" spans="1:27" ht="18.75" customHeight="1">
      <c r="A125" s="3730" t="s">
        <v>1452</v>
      </c>
      <c r="B125" s="3730"/>
      <c r="C125" s="3730"/>
      <c r="D125" s="3770" t="e">
        <f>NUMBERSTRING(INT(D124*10000),2)&amp;"元整"</f>
        <v>#VALUE!</v>
      </c>
      <c r="E125" s="3771"/>
      <c r="F125" s="3771"/>
      <c r="G125" s="3771"/>
      <c r="H125" s="3771"/>
      <c r="I125" s="3772"/>
      <c r="AA125" s="720"/>
    </row>
    <row r="126" spans="1:27" ht="18.75" customHeight="1">
      <c r="A126" s="3761" t="str">
        <f>IF(项目基本情况!B9="房地产市场价值","",MID(E111,3,LEN(E111)-2))</f>
        <v/>
      </c>
      <c r="B126" s="3761"/>
      <c r="C126" s="3761"/>
      <c r="D126" s="3794" t="str">
        <f>H111</f>
        <v>——</v>
      </c>
      <c r="E126" s="3795"/>
      <c r="F126" s="3795"/>
      <c r="G126" s="3795"/>
      <c r="H126" s="3795"/>
      <c r="I126" s="3796"/>
      <c r="AA126" s="720"/>
    </row>
    <row r="127" spans="1:27" ht="18.75" customHeight="1">
      <c r="A127" s="3730" t="s">
        <v>1452</v>
      </c>
      <c r="B127" s="3730"/>
      <c r="C127" s="3730"/>
      <c r="D127" s="3770" t="e">
        <f>NUMBERSTRING(INT(D126*10000),2)&amp;"元整"</f>
        <v>#VALUE!</v>
      </c>
      <c r="E127" s="3771"/>
      <c r="F127" s="3771"/>
      <c r="G127" s="3771"/>
      <c r="H127" s="3771"/>
      <c r="I127" s="3772"/>
      <c r="AA127" s="720"/>
    </row>
    <row r="128" spans="1:27" ht="21.75" customHeight="1">
      <c r="A128" s="3777" t="s">
        <v>1453</v>
      </c>
      <c r="B128" s="3777"/>
      <c r="C128" s="3777"/>
      <c r="D128" s="3777"/>
      <c r="E128" s="3777"/>
      <c r="F128" s="3777"/>
      <c r="G128" s="3777"/>
      <c r="H128" s="3777"/>
      <c r="I128" s="377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13" priority="10" stopIfTrue="1" operator="equal">
      <formula>25</formula>
    </cfRule>
  </conditionalFormatting>
  <conditionalFormatting sqref="C8:C9">
    <cfRule type="cellIs" dxfId="112" priority="9" stopIfTrue="1" operator="equal">
      <formula>15</formula>
    </cfRule>
  </conditionalFormatting>
  <conditionalFormatting sqref="C14:C16">
    <cfRule type="cellIs" dxfId="111" priority="8" stopIfTrue="1" operator="equal">
      <formula>30</formula>
    </cfRule>
  </conditionalFormatting>
  <conditionalFormatting sqref="D5:D7">
    <cfRule type="cellIs" dxfId="110" priority="7" stopIfTrue="1" operator="equal">
      <formula>25</formula>
    </cfRule>
  </conditionalFormatting>
  <conditionalFormatting sqref="D8:D9">
    <cfRule type="cellIs" dxfId="109" priority="6" stopIfTrue="1" operator="equal">
      <formula>15</formula>
    </cfRule>
  </conditionalFormatting>
  <conditionalFormatting sqref="C10:D13">
    <cfRule type="cellIs" dxfId="108" priority="5" stopIfTrue="1" operator="equal">
      <formula>15</formula>
    </cfRule>
  </conditionalFormatting>
  <conditionalFormatting sqref="D14:D16">
    <cfRule type="cellIs" dxfId="107" priority="4" stopIfTrue="1" operator="equal">
      <formula>30</formula>
    </cfRule>
  </conditionalFormatting>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I111" sqref="I11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3331.9832000000001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29709</v>
      </c>
      <c r="C3" s="354" t="s">
        <v>1768</v>
      </c>
      <c r="D3" s="353">
        <f>IF(D1="",'数据-汇总表'!E3,SUMIF('数据-汇总表'!$C19:$C33,D1,'数据-汇总表'!$E19:$E33))</f>
        <v>1121.54</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28" t="s">
        <v>1770</v>
      </c>
      <c r="D4" s="3829"/>
      <c r="E4" s="3830" t="s">
        <v>1771</v>
      </c>
      <c r="F4" s="3831"/>
      <c r="G4" s="3828" t="s">
        <v>1772</v>
      </c>
      <c r="H4" s="3829"/>
      <c r="I4" s="3828" t="s">
        <v>1773</v>
      </c>
      <c r="J4" s="3829"/>
      <c r="K4" s="556" t="s">
        <v>1774</v>
      </c>
      <c r="L4" s="2699"/>
      <c r="M4" s="2700"/>
      <c r="N4" s="2700"/>
      <c r="O4" s="2700"/>
      <c r="P4" s="3927" t="s">
        <v>1775</v>
      </c>
      <c r="Q4" s="3928"/>
      <c r="R4" s="3931" t="s">
        <v>1771</v>
      </c>
      <c r="S4" s="3932"/>
      <c r="T4" s="3931" t="s">
        <v>1772</v>
      </c>
      <c r="U4" s="3932"/>
      <c r="V4" s="3933" t="s">
        <v>1773</v>
      </c>
      <c r="W4" s="3933"/>
      <c r="X4" s="1946"/>
      <c r="Y4" s="3931" t="s">
        <v>1775</v>
      </c>
      <c r="Z4" s="3932"/>
      <c r="AA4" s="3935" t="s">
        <v>1771</v>
      </c>
      <c r="AB4" s="3935" t="s">
        <v>1772</v>
      </c>
      <c r="AC4" s="3924" t="s">
        <v>1773</v>
      </c>
    </row>
    <row r="5" spans="1:29" ht="15">
      <c r="A5" s="358"/>
      <c r="B5" s="359"/>
      <c r="C5" s="3852" t="s">
        <v>1673</v>
      </c>
      <c r="D5" s="3848"/>
      <c r="E5" s="3855" t="s">
        <v>4435</v>
      </c>
      <c r="F5" s="3856"/>
      <c r="G5" s="3847" t="s">
        <v>4436</v>
      </c>
      <c r="H5" s="3848"/>
      <c r="I5" s="3847" t="s">
        <v>4437</v>
      </c>
      <c r="J5" s="3848"/>
      <c r="K5" s="556"/>
      <c r="L5" s="2699"/>
      <c r="M5" s="2700"/>
      <c r="N5" s="2700"/>
      <c r="O5" s="2700"/>
      <c r="P5" s="3929"/>
      <c r="Q5" s="3835"/>
      <c r="R5" s="3840"/>
      <c r="S5" s="3841"/>
      <c r="T5" s="3840"/>
      <c r="U5" s="3841"/>
      <c r="V5" s="3844"/>
      <c r="W5" s="3844"/>
      <c r="X5" s="1347"/>
      <c r="Y5" s="3840"/>
      <c r="Z5" s="3841"/>
      <c r="AA5" s="3826"/>
      <c r="AB5" s="3826"/>
      <c r="AC5" s="3925"/>
    </row>
    <row r="6" spans="1:29" ht="15.75" thickBot="1">
      <c r="A6" s="360"/>
      <c r="B6" s="361"/>
      <c r="C6" s="3845" t="s">
        <v>1677</v>
      </c>
      <c r="D6" s="3846"/>
      <c r="E6" s="3853" t="s">
        <v>1677</v>
      </c>
      <c r="F6" s="3854"/>
      <c r="G6" s="3845" t="s">
        <v>1677</v>
      </c>
      <c r="H6" s="3846"/>
      <c r="I6" s="3845" t="s">
        <v>1677</v>
      </c>
      <c r="J6" s="3846"/>
      <c r="K6" s="556" t="s">
        <v>1678</v>
      </c>
      <c r="L6" s="2699"/>
      <c r="M6" s="2700"/>
      <c r="N6" s="2700"/>
      <c r="O6" s="2700"/>
      <c r="P6" s="3930"/>
      <c r="Q6" s="3837"/>
      <c r="R6" s="3840"/>
      <c r="S6" s="3841"/>
      <c r="T6" s="3842"/>
      <c r="U6" s="3843"/>
      <c r="V6" s="3844"/>
      <c r="W6" s="3844"/>
      <c r="X6" s="1347"/>
      <c r="Y6" s="3842"/>
      <c r="Z6" s="3843"/>
      <c r="AA6" s="3827"/>
      <c r="AB6" s="3827"/>
      <c r="AC6" s="3926"/>
    </row>
    <row r="7" spans="1:29" s="108" customFormat="1" ht="15.75" thickBot="1">
      <c r="A7" s="362" t="s">
        <v>1679</v>
      </c>
      <c r="B7" s="363"/>
      <c r="C7" s="364">
        <f>'数据-取费表'!B2</f>
        <v>45320</v>
      </c>
      <c r="D7" s="365">
        <v>100</v>
      </c>
      <c r="E7" s="366">
        <v>45078</v>
      </c>
      <c r="F7" s="367">
        <f>SUMIF(59:59,YEAR(E7)&amp;"-"&amp;MONTH(E7),60:60)</f>
        <v>100</v>
      </c>
      <c r="G7" s="366">
        <v>45292</v>
      </c>
      <c r="H7" s="365">
        <f>SUMIF(59:59,YEAR(G7)&amp;"-"&amp;MONTH(G7),60:60)</f>
        <v>100</v>
      </c>
      <c r="I7" s="366">
        <v>45292</v>
      </c>
      <c r="J7" s="365">
        <f>SUMIF(59:59,YEAR(I7)&amp;"-"&amp;MONTH(I7),60:60)</f>
        <v>100</v>
      </c>
      <c r="K7" s="557"/>
      <c r="L7" s="2701"/>
      <c r="M7" s="2702"/>
      <c r="N7" s="2702"/>
      <c r="O7" s="2702"/>
      <c r="P7" s="3934" t="s">
        <v>1680</v>
      </c>
      <c r="Q7" s="3851"/>
      <c r="R7" s="696" t="s">
        <v>14</v>
      </c>
      <c r="S7" s="697">
        <f t="shared" ref="S7:S15" si="0">F7</f>
        <v>100</v>
      </c>
      <c r="T7" s="696" t="s">
        <v>14</v>
      </c>
      <c r="U7" s="697">
        <f t="shared" ref="U7:U15" si="1">H7</f>
        <v>100</v>
      </c>
      <c r="V7" s="696" t="s">
        <v>14</v>
      </c>
      <c r="W7" s="697">
        <f t="shared" ref="W7:W15" si="2">J7</f>
        <v>100</v>
      </c>
      <c r="X7" s="698"/>
      <c r="Y7" s="3849" t="s">
        <v>1680</v>
      </c>
      <c r="Z7" s="3850"/>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4199</v>
      </c>
      <c r="H8" s="365">
        <f>SUMIF(62:62,G8,63:63)-SUMIF(62:62,C8,63:63)+100</f>
        <v>102</v>
      </c>
      <c r="I8" s="368" t="s">
        <v>4199</v>
      </c>
      <c r="J8" s="365">
        <f>SUMIF(62:62,I8,63:63)-SUMIF(62:62,C8,63:63)+100</f>
        <v>102</v>
      </c>
      <c r="K8" s="557"/>
      <c r="L8" s="2701"/>
      <c r="M8" s="2702"/>
      <c r="N8" s="2702"/>
      <c r="O8" s="2702"/>
      <c r="P8" s="3934" t="s">
        <v>1683</v>
      </c>
      <c r="Q8" s="3850"/>
      <c r="R8" s="696" t="s">
        <v>14</v>
      </c>
      <c r="S8" s="697">
        <f t="shared" si="0"/>
        <v>100</v>
      </c>
      <c r="T8" s="696" t="s">
        <v>14</v>
      </c>
      <c r="U8" s="697">
        <f t="shared" si="1"/>
        <v>102</v>
      </c>
      <c r="V8" s="696" t="s">
        <v>14</v>
      </c>
      <c r="W8" s="697">
        <f t="shared" si="2"/>
        <v>102</v>
      </c>
      <c r="X8" s="698"/>
      <c r="Y8" s="3849" t="s">
        <v>1683</v>
      </c>
      <c r="Z8" s="3850"/>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4198</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24" t="s">
        <v>1686</v>
      </c>
      <c r="Q9" s="1335" t="str">
        <f t="shared" ref="Q9:Q15" si="6">B9</f>
        <v>用途</v>
      </c>
      <c r="R9" s="696" t="s">
        <v>14</v>
      </c>
      <c r="S9" s="697">
        <f t="shared" si="0"/>
        <v>100</v>
      </c>
      <c r="T9" s="696" t="s">
        <v>14</v>
      </c>
      <c r="U9" s="697">
        <f t="shared" si="1"/>
        <v>100</v>
      </c>
      <c r="V9" s="696" t="s">
        <v>14</v>
      </c>
      <c r="W9" s="697">
        <f t="shared" si="2"/>
        <v>100</v>
      </c>
      <c r="X9" s="698"/>
      <c r="Y9" s="3717"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24"/>
      <c r="Q10" s="1335" t="str">
        <f t="shared" si="6"/>
        <v>土地使用年限（年）</v>
      </c>
      <c r="R10" s="696" t="s">
        <v>14</v>
      </c>
      <c r="S10" s="697">
        <f t="shared" si="0"/>
        <v>100</v>
      </c>
      <c r="T10" s="696" t="s">
        <v>14</v>
      </c>
      <c r="U10" s="697">
        <f t="shared" si="1"/>
        <v>100</v>
      </c>
      <c r="V10" s="696" t="s">
        <v>14</v>
      </c>
      <c r="W10" s="697">
        <f t="shared" si="2"/>
        <v>100</v>
      </c>
      <c r="X10" s="698"/>
      <c r="Y10" s="3717"/>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24"/>
      <c r="Q11" s="1335" t="str">
        <f t="shared" si="6"/>
        <v>容积率</v>
      </c>
      <c r="R11" s="696" t="s">
        <v>14</v>
      </c>
      <c r="S11" s="697">
        <f t="shared" si="0"/>
        <v>100</v>
      </c>
      <c r="T11" s="696" t="s">
        <v>14</v>
      </c>
      <c r="U11" s="697">
        <f t="shared" si="1"/>
        <v>100</v>
      </c>
      <c r="V11" s="696" t="s">
        <v>14</v>
      </c>
      <c r="W11" s="697">
        <f t="shared" si="2"/>
        <v>100</v>
      </c>
      <c r="X11" s="698"/>
      <c r="Y11" s="3717"/>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24"/>
      <c r="Q12" s="1335">
        <f t="shared" si="6"/>
        <v>111</v>
      </c>
      <c r="R12" s="696" t="s">
        <v>14</v>
      </c>
      <c r="S12" s="697">
        <f t="shared" si="0"/>
        <v>100</v>
      </c>
      <c r="T12" s="696" t="s">
        <v>14</v>
      </c>
      <c r="U12" s="697">
        <f t="shared" si="1"/>
        <v>100</v>
      </c>
      <c r="V12" s="696" t="s">
        <v>14</v>
      </c>
      <c r="W12" s="697">
        <f t="shared" si="2"/>
        <v>100</v>
      </c>
      <c r="X12" s="698"/>
      <c r="Y12" s="3717"/>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24"/>
      <c r="Q13" s="1335">
        <f t="shared" si="6"/>
        <v>111</v>
      </c>
      <c r="R13" s="696" t="s">
        <v>14</v>
      </c>
      <c r="S13" s="697">
        <f t="shared" si="0"/>
        <v>100</v>
      </c>
      <c r="T13" s="696" t="s">
        <v>14</v>
      </c>
      <c r="U13" s="697">
        <f t="shared" si="1"/>
        <v>100</v>
      </c>
      <c r="V13" s="696" t="s">
        <v>14</v>
      </c>
      <c r="W13" s="697">
        <f t="shared" si="2"/>
        <v>100</v>
      </c>
      <c r="X13" s="698"/>
      <c r="Y13" s="3717"/>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24"/>
      <c r="Q14" s="1335">
        <f t="shared" si="6"/>
        <v>111</v>
      </c>
      <c r="R14" s="696" t="s">
        <v>14</v>
      </c>
      <c r="S14" s="697">
        <f t="shared" si="0"/>
        <v>100</v>
      </c>
      <c r="T14" s="696" t="s">
        <v>14</v>
      </c>
      <c r="U14" s="697">
        <f t="shared" si="1"/>
        <v>100</v>
      </c>
      <c r="V14" s="696" t="s">
        <v>14</v>
      </c>
      <c r="W14" s="697">
        <f t="shared" si="2"/>
        <v>100</v>
      </c>
      <c r="X14" s="698"/>
      <c r="Y14" s="3717"/>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100</v>
      </c>
      <c r="I15" s="392"/>
      <c r="J15" s="391">
        <f>SUMIF(77:77,I16,78:78)-SUMIF(77:77,C16,78:78)+100</f>
        <v>100</v>
      </c>
      <c r="K15" s="560">
        <v>3</v>
      </c>
      <c r="L15" s="2706"/>
      <c r="M15" s="2700"/>
      <c r="N15" s="2700"/>
      <c r="O15" s="2700"/>
      <c r="P15" s="3822" t="s">
        <v>1691</v>
      </c>
      <c r="Q15" s="1344" t="str">
        <f t="shared" si="6"/>
        <v>办公集聚程度</v>
      </c>
      <c r="R15" s="700" t="s">
        <v>14</v>
      </c>
      <c r="S15" s="701">
        <f t="shared" si="0"/>
        <v>100</v>
      </c>
      <c r="T15" s="700" t="s">
        <v>14</v>
      </c>
      <c r="U15" s="701">
        <f t="shared" si="1"/>
        <v>100</v>
      </c>
      <c r="V15" s="700" t="s">
        <v>14</v>
      </c>
      <c r="W15" s="701">
        <f t="shared" si="2"/>
        <v>100</v>
      </c>
      <c r="X15" s="1347"/>
      <c r="Y15" s="3815" t="s">
        <v>1691</v>
      </c>
      <c r="Z15" s="1348" t="str">
        <f t="shared" si="7"/>
        <v>办公集聚程度</v>
      </c>
      <c r="AA15" s="1345">
        <f t="shared" si="3"/>
        <v>1</v>
      </c>
      <c r="AB15" s="1345">
        <f t="shared" si="4"/>
        <v>1</v>
      </c>
      <c r="AC15" s="1950">
        <f t="shared" si="5"/>
        <v>1</v>
      </c>
    </row>
    <row r="16" spans="1:29" ht="15">
      <c r="A16" s="378"/>
      <c r="B16" s="574"/>
      <c r="C16" s="1894" t="s">
        <v>3419</v>
      </c>
      <c r="D16" s="398"/>
      <c r="E16" s="1894" t="s">
        <v>3419</v>
      </c>
      <c r="F16" s="398"/>
      <c r="G16" s="1894" t="s">
        <v>3419</v>
      </c>
      <c r="H16" s="400"/>
      <c r="I16" s="1894" t="s">
        <v>3419</v>
      </c>
      <c r="J16" s="398"/>
      <c r="K16" s="561"/>
      <c r="L16" s="2706"/>
      <c r="M16" s="2700"/>
      <c r="N16" s="2700"/>
      <c r="O16" s="2700"/>
      <c r="P16" s="3823"/>
      <c r="Q16" s="1344"/>
      <c r="R16" s="700"/>
      <c r="S16" s="701"/>
      <c r="T16" s="700"/>
      <c r="U16" s="701"/>
      <c r="V16" s="700"/>
      <c r="W16" s="701"/>
      <c r="X16" s="1347"/>
      <c r="Y16" s="3816"/>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823"/>
      <c r="Q17" s="1344" t="str">
        <f>B17</f>
        <v>交通便捷度</v>
      </c>
      <c r="R17" s="700" t="s">
        <v>14</v>
      </c>
      <c r="S17" s="701">
        <f>F17</f>
        <v>100</v>
      </c>
      <c r="T17" s="700" t="s">
        <v>14</v>
      </c>
      <c r="U17" s="701">
        <f>H17</f>
        <v>100</v>
      </c>
      <c r="V17" s="700" t="s">
        <v>14</v>
      </c>
      <c r="W17" s="701">
        <f>J17</f>
        <v>100</v>
      </c>
      <c r="X17" s="1347"/>
      <c r="Y17" s="3816"/>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823"/>
      <c r="Q18" s="1344"/>
      <c r="R18" s="700"/>
      <c r="S18" s="701"/>
      <c r="T18" s="700"/>
      <c r="U18" s="701"/>
      <c r="V18" s="700"/>
      <c r="W18" s="701"/>
      <c r="X18" s="1347"/>
      <c r="Y18" s="3816"/>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823"/>
      <c r="Q19" s="1344" t="str">
        <f>B19</f>
        <v>公共配套设施</v>
      </c>
      <c r="R19" s="700" t="s">
        <v>14</v>
      </c>
      <c r="S19" s="701">
        <f>F19</f>
        <v>100</v>
      </c>
      <c r="T19" s="700" t="s">
        <v>14</v>
      </c>
      <c r="U19" s="701">
        <f>H19</f>
        <v>100</v>
      </c>
      <c r="V19" s="700" t="s">
        <v>14</v>
      </c>
      <c r="W19" s="701">
        <f>J19</f>
        <v>100</v>
      </c>
      <c r="X19" s="1347"/>
      <c r="Y19" s="3816"/>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823"/>
      <c r="Q20" s="1344"/>
      <c r="R20" s="700"/>
      <c r="S20" s="701"/>
      <c r="T20" s="700"/>
      <c r="U20" s="701"/>
      <c r="V20" s="700"/>
      <c r="W20" s="701"/>
      <c r="X20" s="1347"/>
      <c r="Y20" s="3816"/>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23"/>
      <c r="Q21" s="1344" t="str">
        <f>B21</f>
        <v>基础设施水平</v>
      </c>
      <c r="R21" s="700" t="s">
        <v>14</v>
      </c>
      <c r="S21" s="701">
        <f>F21</f>
        <v>100</v>
      </c>
      <c r="T21" s="700" t="s">
        <v>14</v>
      </c>
      <c r="U21" s="701">
        <f>H21</f>
        <v>100</v>
      </c>
      <c r="V21" s="700" t="s">
        <v>14</v>
      </c>
      <c r="W21" s="701">
        <f>J21</f>
        <v>100</v>
      </c>
      <c r="X21" s="1347"/>
      <c r="Y21" s="3816"/>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23"/>
      <c r="Q22" s="1344"/>
      <c r="R22" s="700"/>
      <c r="S22" s="701"/>
      <c r="T22" s="700"/>
      <c r="U22" s="701"/>
      <c r="V22" s="700"/>
      <c r="W22" s="701"/>
      <c r="X22" s="1347"/>
      <c r="Y22" s="3816"/>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100</v>
      </c>
      <c r="I23" s="402"/>
      <c r="J23" s="400">
        <f>SUMIF(85:85,I24,86:86)-SUMIF(85:85,C24,86:86)+100</f>
        <v>100</v>
      </c>
      <c r="K23" s="560">
        <f>'比较法-商业'!K23</f>
        <v>3</v>
      </c>
      <c r="L23" s="2706"/>
      <c r="M23" s="2700"/>
      <c r="N23" s="2700"/>
      <c r="O23" s="2700"/>
      <c r="P23" s="3823"/>
      <c r="Q23" s="1344" t="str">
        <f>B23</f>
        <v>环境质量</v>
      </c>
      <c r="R23" s="700" t="s">
        <v>14</v>
      </c>
      <c r="S23" s="701">
        <f>F23</f>
        <v>100</v>
      </c>
      <c r="T23" s="700" t="s">
        <v>14</v>
      </c>
      <c r="U23" s="701">
        <f>H23</f>
        <v>100</v>
      </c>
      <c r="V23" s="700" t="s">
        <v>14</v>
      </c>
      <c r="W23" s="701">
        <f>J23</f>
        <v>100</v>
      </c>
      <c r="X23" s="1347"/>
      <c r="Y23" s="3816"/>
      <c r="Z23" s="1348" t="str">
        <f>Q23</f>
        <v>环境质量</v>
      </c>
      <c r="AA23" s="1345">
        <f t="shared" si="3"/>
        <v>1</v>
      </c>
      <c r="AB23" s="1345">
        <f t="shared" si="4"/>
        <v>1</v>
      </c>
      <c r="AC23" s="1950">
        <f t="shared" si="5"/>
        <v>1</v>
      </c>
    </row>
    <row r="24" spans="1:29" ht="15">
      <c r="A24" s="378"/>
      <c r="B24" s="577"/>
      <c r="C24" s="1894" t="s">
        <v>3403</v>
      </c>
      <c r="D24" s="398"/>
      <c r="E24" s="1894" t="s">
        <v>3403</v>
      </c>
      <c r="F24" s="398"/>
      <c r="G24" s="1894" t="s">
        <v>3403</v>
      </c>
      <c r="H24" s="398"/>
      <c r="I24" s="1894" t="s">
        <v>3403</v>
      </c>
      <c r="J24" s="398"/>
      <c r="K24" s="561"/>
      <c r="L24" s="2706"/>
      <c r="M24" s="2700"/>
      <c r="N24" s="2700"/>
      <c r="O24" s="2700"/>
      <c r="P24" s="3823"/>
      <c r="Q24" s="1344"/>
      <c r="R24" s="700"/>
      <c r="S24" s="701"/>
      <c r="T24" s="700"/>
      <c r="U24" s="701"/>
      <c r="V24" s="700"/>
      <c r="W24" s="701"/>
      <c r="X24" s="1347"/>
      <c r="Y24" s="3816"/>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23"/>
      <c r="Q25" s="1344" t="str">
        <f>B25</f>
        <v>毗邻道路的类型与等级</v>
      </c>
      <c r="R25" s="700" t="s">
        <v>14</v>
      </c>
      <c r="S25" s="701">
        <f>F25</f>
        <v>100</v>
      </c>
      <c r="T25" s="700" t="s">
        <v>14</v>
      </c>
      <c r="U25" s="701">
        <f>H25</f>
        <v>100</v>
      </c>
      <c r="V25" s="700" t="s">
        <v>14</v>
      </c>
      <c r="W25" s="701">
        <f>J25</f>
        <v>100</v>
      </c>
      <c r="X25" s="1347"/>
      <c r="Y25" s="3816"/>
      <c r="Z25" s="1348" t="str">
        <f>Q25</f>
        <v>毗邻道路的类型与等级</v>
      </c>
      <c r="AA25" s="1345">
        <f t="shared" si="3"/>
        <v>1</v>
      </c>
      <c r="AB25" s="1345">
        <f t="shared" si="4"/>
        <v>1</v>
      </c>
      <c r="AC25" s="1950">
        <f t="shared" si="5"/>
        <v>1</v>
      </c>
    </row>
    <row r="26" spans="1:29" ht="15">
      <c r="A26" s="358"/>
      <c r="B26" s="576"/>
      <c r="C26" s="578" t="s">
        <v>4210</v>
      </c>
      <c r="D26" s="385"/>
      <c r="E26" s="578" t="s">
        <v>4210</v>
      </c>
      <c r="F26" s="385"/>
      <c r="G26" s="578" t="s">
        <v>4210</v>
      </c>
      <c r="H26" s="385"/>
      <c r="I26" s="578" t="s">
        <v>4210</v>
      </c>
      <c r="J26" s="385"/>
      <c r="K26" s="561"/>
      <c r="L26" s="2706"/>
      <c r="M26" s="2700"/>
      <c r="N26" s="2700"/>
      <c r="O26" s="2700"/>
      <c r="P26" s="3823"/>
      <c r="Q26" s="1344"/>
      <c r="R26" s="700"/>
      <c r="S26" s="701"/>
      <c r="T26" s="700"/>
      <c r="U26" s="701"/>
      <c r="V26" s="700"/>
      <c r="W26" s="701"/>
      <c r="X26" s="1347"/>
      <c r="Y26" s="3816"/>
      <c r="Z26" s="1348"/>
      <c r="AA26" s="1345">
        <v>1</v>
      </c>
      <c r="AB26" s="1345">
        <v>1</v>
      </c>
      <c r="AC26" s="1950">
        <v>1</v>
      </c>
    </row>
    <row r="27" spans="1:29" ht="15">
      <c r="A27" s="378"/>
      <c r="B27" s="576" t="s">
        <v>1783</v>
      </c>
      <c r="C27" s="578" t="s">
        <v>4206</v>
      </c>
      <c r="D27" s="385">
        <v>100</v>
      </c>
      <c r="E27" s="562" t="s">
        <v>4206</v>
      </c>
      <c r="F27" s="385">
        <f>SUMIF(89:89,E27,90:90)-SUMIF(89:89,C27,90:90)+100</f>
        <v>100</v>
      </c>
      <c r="G27" s="578" t="s">
        <v>4206</v>
      </c>
      <c r="H27" s="385">
        <f>SUMIF(89:89,G27,90:90)-SUMIF(89:89,C27,90:90)+100</f>
        <v>100</v>
      </c>
      <c r="I27" s="578" t="s">
        <v>4206</v>
      </c>
      <c r="J27" s="385">
        <f>SUMIF(89:89,I27,90:90)-SUMIF(89:89,C27,90:90)+100</f>
        <v>100</v>
      </c>
      <c r="K27" s="558">
        <v>3</v>
      </c>
      <c r="L27" s="2706"/>
      <c r="M27" s="2700"/>
      <c r="N27" s="2700"/>
      <c r="O27" s="2700"/>
      <c r="P27" s="3823"/>
      <c r="Q27" s="1344" t="str">
        <f t="shared" ref="Q27:Q47" si="11">B27</f>
        <v>楼层</v>
      </c>
      <c r="R27" s="700" t="s">
        <v>14</v>
      </c>
      <c r="S27" s="701">
        <f>F27</f>
        <v>100</v>
      </c>
      <c r="T27" s="700" t="s">
        <v>14</v>
      </c>
      <c r="U27" s="701">
        <f>H27</f>
        <v>100</v>
      </c>
      <c r="V27" s="700" t="s">
        <v>14</v>
      </c>
      <c r="W27" s="701">
        <f>J27</f>
        <v>100</v>
      </c>
      <c r="X27" s="1347"/>
      <c r="Y27" s="3816"/>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23"/>
      <c r="Q28" s="1335" t="str">
        <f t="shared" si="11"/>
        <v>朝向</v>
      </c>
      <c r="R28" s="696" t="s">
        <v>14</v>
      </c>
      <c r="S28" s="697">
        <f>F28</f>
        <v>100</v>
      </c>
      <c r="T28" s="696" t="s">
        <v>14</v>
      </c>
      <c r="U28" s="697">
        <f>H28</f>
        <v>100</v>
      </c>
      <c r="V28" s="696" t="s">
        <v>14</v>
      </c>
      <c r="W28" s="697">
        <f>J28</f>
        <v>100</v>
      </c>
      <c r="X28" s="698"/>
      <c r="Y28" s="3816"/>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23"/>
      <c r="Q29" s="1344">
        <f t="shared" si="11"/>
        <v>111</v>
      </c>
      <c r="R29" s="700" t="s">
        <v>14</v>
      </c>
      <c r="S29" s="701">
        <f t="shared" ref="S29:S47" si="12">F29</f>
        <v>100</v>
      </c>
      <c r="T29" s="700" t="s">
        <v>14</v>
      </c>
      <c r="U29" s="701">
        <f t="shared" ref="U29:U47" si="13">H29</f>
        <v>100</v>
      </c>
      <c r="V29" s="700" t="s">
        <v>14</v>
      </c>
      <c r="W29" s="701">
        <f t="shared" ref="W29:W47" si="14">J29</f>
        <v>100</v>
      </c>
      <c r="X29" s="1347"/>
      <c r="Y29" s="3816"/>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23"/>
      <c r="Q30" s="1344">
        <f t="shared" si="11"/>
        <v>111</v>
      </c>
      <c r="R30" s="700" t="s">
        <v>14</v>
      </c>
      <c r="S30" s="701">
        <f t="shared" si="12"/>
        <v>100</v>
      </c>
      <c r="T30" s="700" t="s">
        <v>14</v>
      </c>
      <c r="U30" s="701">
        <f t="shared" si="13"/>
        <v>100</v>
      </c>
      <c r="V30" s="700" t="s">
        <v>14</v>
      </c>
      <c r="W30" s="701">
        <f t="shared" si="14"/>
        <v>100</v>
      </c>
      <c r="X30" s="1347"/>
      <c r="Y30" s="3816"/>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23"/>
      <c r="Q31" s="1344">
        <f t="shared" si="11"/>
        <v>111</v>
      </c>
      <c r="R31" s="700" t="s">
        <v>14</v>
      </c>
      <c r="S31" s="701">
        <f t="shared" si="12"/>
        <v>100</v>
      </c>
      <c r="T31" s="700" t="s">
        <v>14</v>
      </c>
      <c r="U31" s="701">
        <f t="shared" si="13"/>
        <v>100</v>
      </c>
      <c r="V31" s="700" t="s">
        <v>14</v>
      </c>
      <c r="W31" s="701">
        <f t="shared" si="14"/>
        <v>100</v>
      </c>
      <c r="X31" s="1347"/>
      <c r="Y31" s="3816"/>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23"/>
      <c r="Q32" s="1344">
        <f t="shared" si="11"/>
        <v>111</v>
      </c>
      <c r="R32" s="700" t="s">
        <v>14</v>
      </c>
      <c r="S32" s="701">
        <f t="shared" si="12"/>
        <v>100</v>
      </c>
      <c r="T32" s="700" t="s">
        <v>14</v>
      </c>
      <c r="U32" s="701">
        <f t="shared" si="13"/>
        <v>100</v>
      </c>
      <c r="V32" s="700" t="s">
        <v>14</v>
      </c>
      <c r="W32" s="701">
        <f t="shared" si="14"/>
        <v>100</v>
      </c>
      <c r="X32" s="1347"/>
      <c r="Y32" s="3816"/>
      <c r="Z32" s="1348">
        <f t="shared" si="15"/>
        <v>111</v>
      </c>
      <c r="AA32" s="1345">
        <f t="shared" si="3"/>
        <v>1</v>
      </c>
      <c r="AB32" s="1345">
        <f t="shared" si="4"/>
        <v>1</v>
      </c>
      <c r="AC32" s="1950">
        <f t="shared" si="5"/>
        <v>1</v>
      </c>
    </row>
    <row r="33" spans="1:29" ht="15">
      <c r="A33" s="390" t="s">
        <v>1694</v>
      </c>
      <c r="B33" s="63" t="s">
        <v>1817</v>
      </c>
      <c r="C33" s="1955" t="s">
        <v>4213</v>
      </c>
      <c r="D33" s="417">
        <v>100</v>
      </c>
      <c r="E33" s="1955" t="s">
        <v>4213</v>
      </c>
      <c r="F33" s="411">
        <f>SUMIF(101:101,E33,102:102)-SUMIF(101:101,C33,102:102)+100</f>
        <v>100</v>
      </c>
      <c r="G33" s="1955" t="s">
        <v>4213</v>
      </c>
      <c r="H33" s="385">
        <f>SUMIF(101:101,G33,102:102)-SUMIF(101:101,C33,102:102)+100</f>
        <v>100</v>
      </c>
      <c r="I33" s="1955" t="s">
        <v>4213</v>
      </c>
      <c r="J33" s="417">
        <f>SUMIF(101:101,I33,102:102)-SUMIF(101:101,C33,102:102)+100</f>
        <v>100</v>
      </c>
      <c r="K33" s="558">
        <v>100</v>
      </c>
      <c r="L33" s="2706"/>
      <c r="M33" s="2700"/>
      <c r="N33" s="2700"/>
      <c r="O33" s="2700"/>
      <c r="P33" s="3817" t="s">
        <v>1696</v>
      </c>
      <c r="Q33" s="1344" t="str">
        <f t="shared" si="11"/>
        <v>建筑类型</v>
      </c>
      <c r="R33" s="700" t="s">
        <v>14</v>
      </c>
      <c r="S33" s="701">
        <f t="shared" si="12"/>
        <v>100</v>
      </c>
      <c r="T33" s="700" t="s">
        <v>14</v>
      </c>
      <c r="U33" s="701">
        <f t="shared" si="13"/>
        <v>100</v>
      </c>
      <c r="V33" s="700" t="s">
        <v>14</v>
      </c>
      <c r="W33" s="701">
        <f t="shared" si="14"/>
        <v>100</v>
      </c>
      <c r="X33" s="1347"/>
      <c r="Y33" s="3820" t="s">
        <v>1696</v>
      </c>
      <c r="Z33" s="1348" t="str">
        <f t="shared" si="15"/>
        <v>建筑类型</v>
      </c>
      <c r="AA33" s="1345">
        <f t="shared" si="3"/>
        <v>1</v>
      </c>
      <c r="AB33" s="1345">
        <f t="shared" si="4"/>
        <v>1</v>
      </c>
      <c r="AC33" s="1950">
        <f t="shared" si="5"/>
        <v>1</v>
      </c>
    </row>
    <row r="34" spans="1:29" s="421" customFormat="1" ht="15">
      <c r="A34" s="418"/>
      <c r="B34" s="374" t="s">
        <v>1697</v>
      </c>
      <c r="C34" s="419">
        <f>'商办车库-新'!F280</f>
        <v>1121.54</v>
      </c>
      <c r="D34" s="127">
        <v>100</v>
      </c>
      <c r="E34" s="380">
        <v>599</v>
      </c>
      <c r="F34" s="375">
        <f>LOOKUP(E34,104:104,105:105)-LOOKUP(C34,104:104,105:105)+100</f>
        <v>101</v>
      </c>
      <c r="G34" s="379">
        <v>1500</v>
      </c>
      <c r="H34" s="127">
        <f>LOOKUP(G34,104:104,105:105)-LOOKUP(C34,104:104,105:105)+100</f>
        <v>100</v>
      </c>
      <c r="I34" s="379">
        <v>3405</v>
      </c>
      <c r="J34" s="127">
        <f>LOOKUP(I34,104:104,105:105)-LOOKUP(C34,104:104,105:105)+100</f>
        <v>98</v>
      </c>
      <c r="K34" s="559"/>
      <c r="L34" s="2705"/>
      <c r="M34" s="2707"/>
      <c r="N34" s="2707"/>
      <c r="O34" s="2707"/>
      <c r="P34" s="3818"/>
      <c r="Q34" s="702" t="str">
        <f t="shared" si="11"/>
        <v>项目建筑规模</v>
      </c>
      <c r="R34" s="703" t="s">
        <v>14</v>
      </c>
      <c r="S34" s="704">
        <f t="shared" si="12"/>
        <v>101</v>
      </c>
      <c r="T34" s="703" t="s">
        <v>14</v>
      </c>
      <c r="U34" s="704">
        <f t="shared" si="13"/>
        <v>100</v>
      </c>
      <c r="V34" s="703" t="s">
        <v>14</v>
      </c>
      <c r="W34" s="704">
        <f t="shared" si="14"/>
        <v>98</v>
      </c>
      <c r="X34" s="705"/>
      <c r="Y34" s="3820"/>
      <c r="Z34" s="706" t="str">
        <f t="shared" si="15"/>
        <v>项目建筑规模</v>
      </c>
      <c r="AA34" s="1345">
        <f t="shared" si="3"/>
        <v>0.99009900990099009</v>
      </c>
      <c r="AB34" s="1345">
        <f t="shared" si="4"/>
        <v>1</v>
      </c>
      <c r="AC34" s="1950">
        <f t="shared" si="5"/>
        <v>1.0204081632653061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18"/>
      <c r="Q35" s="1344" t="str">
        <f t="shared" si="11"/>
        <v>建筑结构</v>
      </c>
      <c r="R35" s="700" t="s">
        <v>14</v>
      </c>
      <c r="S35" s="701">
        <f t="shared" si="12"/>
        <v>100</v>
      </c>
      <c r="T35" s="700" t="s">
        <v>14</v>
      </c>
      <c r="U35" s="701">
        <f t="shared" si="13"/>
        <v>100</v>
      </c>
      <c r="V35" s="700" t="s">
        <v>14</v>
      </c>
      <c r="W35" s="701">
        <f t="shared" si="14"/>
        <v>100</v>
      </c>
      <c r="X35" s="1347"/>
      <c r="Y35" s="3820"/>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18"/>
      <c r="Q36" s="1344" t="str">
        <f t="shared" si="11"/>
        <v>公共部分装修</v>
      </c>
      <c r="R36" s="700" t="s">
        <v>14</v>
      </c>
      <c r="S36" s="701">
        <f t="shared" si="12"/>
        <v>100</v>
      </c>
      <c r="T36" s="700" t="s">
        <v>14</v>
      </c>
      <c r="U36" s="701">
        <f t="shared" si="13"/>
        <v>100</v>
      </c>
      <c r="V36" s="700" t="s">
        <v>14</v>
      </c>
      <c r="W36" s="701">
        <f t="shared" si="14"/>
        <v>100</v>
      </c>
      <c r="X36" s="1347"/>
      <c r="Y36" s="3820"/>
      <c r="Z36" s="1348" t="str">
        <f t="shared" si="15"/>
        <v>公共部分装修</v>
      </c>
      <c r="AA36" s="1345">
        <f t="shared" si="3"/>
        <v>1</v>
      </c>
      <c r="AB36" s="1345">
        <f t="shared" si="4"/>
        <v>1</v>
      </c>
      <c r="AC36" s="1950">
        <f t="shared" si="5"/>
        <v>1</v>
      </c>
    </row>
    <row r="37" spans="1:29" ht="15">
      <c r="A37" s="422"/>
      <c r="B37" s="374" t="s">
        <v>1786</v>
      </c>
      <c r="C37" s="424">
        <f>'数据-取费表'!N6</f>
        <v>0.95</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18"/>
      <c r="Q37" s="1344" t="str">
        <f t="shared" si="11"/>
        <v>成新度</v>
      </c>
      <c r="R37" s="700" t="s">
        <v>14</v>
      </c>
      <c r="S37" s="701">
        <f t="shared" si="12"/>
        <v>100</v>
      </c>
      <c r="T37" s="700" t="s">
        <v>14</v>
      </c>
      <c r="U37" s="701">
        <f t="shared" si="13"/>
        <v>100</v>
      </c>
      <c r="V37" s="700" t="s">
        <v>14</v>
      </c>
      <c r="W37" s="701">
        <f t="shared" si="14"/>
        <v>100</v>
      </c>
      <c r="X37" s="1347"/>
      <c r="Y37" s="3820"/>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18"/>
      <c r="Q38" s="1335" t="str">
        <f t="shared" si="11"/>
        <v>写字楼等级</v>
      </c>
      <c r="R38" s="696" t="s">
        <v>14</v>
      </c>
      <c r="S38" s="697">
        <f t="shared" si="12"/>
        <v>100</v>
      </c>
      <c r="T38" s="696" t="s">
        <v>14</v>
      </c>
      <c r="U38" s="697">
        <f t="shared" si="13"/>
        <v>100</v>
      </c>
      <c r="V38" s="696" t="s">
        <v>14</v>
      </c>
      <c r="W38" s="697">
        <f t="shared" si="14"/>
        <v>100</v>
      </c>
      <c r="X38" s="698"/>
      <c r="Y38" s="3820"/>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18" t="s">
        <v>1696</v>
      </c>
      <c r="Q39" s="1344" t="str">
        <f t="shared" si="11"/>
        <v>物业管理</v>
      </c>
      <c r="R39" s="700" t="s">
        <v>14</v>
      </c>
      <c r="S39" s="701">
        <f t="shared" si="12"/>
        <v>100</v>
      </c>
      <c r="T39" s="700" t="s">
        <v>14</v>
      </c>
      <c r="U39" s="701">
        <f t="shared" si="13"/>
        <v>100</v>
      </c>
      <c r="V39" s="700" t="s">
        <v>14</v>
      </c>
      <c r="W39" s="701">
        <f t="shared" si="14"/>
        <v>100</v>
      </c>
      <c r="X39" s="1347"/>
      <c r="Y39" s="3820"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18"/>
      <c r="Q40" s="1344" t="str">
        <f t="shared" si="11"/>
        <v>市政基础设施</v>
      </c>
      <c r="R40" s="700" t="s">
        <v>14</v>
      </c>
      <c r="S40" s="701">
        <f t="shared" si="12"/>
        <v>100</v>
      </c>
      <c r="T40" s="700" t="s">
        <v>14</v>
      </c>
      <c r="U40" s="701">
        <f t="shared" si="13"/>
        <v>100</v>
      </c>
      <c r="V40" s="700" t="s">
        <v>14</v>
      </c>
      <c r="W40" s="701">
        <f t="shared" si="14"/>
        <v>100</v>
      </c>
      <c r="X40" s="1347"/>
      <c r="Y40" s="3820"/>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18"/>
      <c r="Q41" s="1344" t="str">
        <f t="shared" si="11"/>
        <v>层高</v>
      </c>
      <c r="R41" s="700" t="s">
        <v>14</v>
      </c>
      <c r="S41" s="701">
        <f t="shared" si="12"/>
        <v>100</v>
      </c>
      <c r="T41" s="700" t="s">
        <v>14</v>
      </c>
      <c r="U41" s="701">
        <f t="shared" si="13"/>
        <v>100</v>
      </c>
      <c r="V41" s="700" t="s">
        <v>14</v>
      </c>
      <c r="W41" s="701">
        <f t="shared" si="14"/>
        <v>100</v>
      </c>
      <c r="X41" s="1347"/>
      <c r="Y41" s="3820"/>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18"/>
      <c r="Q42" s="702" t="str">
        <f t="shared" si="11"/>
        <v>单套建筑面积</v>
      </c>
      <c r="R42" s="703" t="s">
        <v>14</v>
      </c>
      <c r="S42" s="704">
        <f t="shared" si="12"/>
        <v>100</v>
      </c>
      <c r="T42" s="703" t="s">
        <v>14</v>
      </c>
      <c r="U42" s="704">
        <f t="shared" si="13"/>
        <v>100</v>
      </c>
      <c r="V42" s="703" t="s">
        <v>14</v>
      </c>
      <c r="W42" s="704">
        <f t="shared" si="14"/>
        <v>100</v>
      </c>
      <c r="X42" s="705"/>
      <c r="Y42" s="3820"/>
      <c r="Z42" s="706" t="str">
        <f t="shared" si="15"/>
        <v>单套建筑面积</v>
      </c>
      <c r="AA42" s="1345">
        <f t="shared" si="3"/>
        <v>1</v>
      </c>
      <c r="AB42" s="1345">
        <f t="shared" si="4"/>
        <v>1</v>
      </c>
      <c r="AC42" s="1950">
        <f t="shared" si="5"/>
        <v>1</v>
      </c>
    </row>
    <row r="43" spans="1:29" ht="15">
      <c r="A43" s="422"/>
      <c r="B43" s="374" t="s">
        <v>1792</v>
      </c>
      <c r="C43" s="410" t="s">
        <v>4214</v>
      </c>
      <c r="D43" s="385">
        <v>100</v>
      </c>
      <c r="E43" s="410" t="s">
        <v>4214</v>
      </c>
      <c r="F43" s="411">
        <f>SUMIF(123:123,E43,124:124)-SUMIF(123:123,C43,124:124)+100</f>
        <v>100</v>
      </c>
      <c r="G43" s="410" t="s">
        <v>4214</v>
      </c>
      <c r="H43" s="385">
        <f>SUMIF(123:123,G43,124:124)-SUMIF(123:123,C43,124:124)+100</f>
        <v>100</v>
      </c>
      <c r="I43" s="410" t="s">
        <v>4214</v>
      </c>
      <c r="J43" s="385">
        <f>SUMIF(123:123,I43,124:124)-SUMIF(123:123,C43,124:124)+100</f>
        <v>100</v>
      </c>
      <c r="K43" s="558">
        <v>2</v>
      </c>
      <c r="L43" s="2706"/>
      <c r="M43" s="2700"/>
      <c r="N43" s="2700"/>
      <c r="O43" s="2700"/>
      <c r="P43" s="3818"/>
      <c r="Q43" s="1344" t="str">
        <f t="shared" si="11"/>
        <v>内部装修</v>
      </c>
      <c r="R43" s="700" t="s">
        <v>14</v>
      </c>
      <c r="S43" s="701">
        <f t="shared" si="12"/>
        <v>100</v>
      </c>
      <c r="T43" s="700" t="s">
        <v>14</v>
      </c>
      <c r="U43" s="701">
        <f t="shared" si="13"/>
        <v>100</v>
      </c>
      <c r="V43" s="700" t="s">
        <v>14</v>
      </c>
      <c r="W43" s="701">
        <f t="shared" si="14"/>
        <v>100</v>
      </c>
      <c r="X43" s="1347"/>
      <c r="Y43" s="3820"/>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18"/>
      <c r="Q44" s="1344" t="str">
        <f t="shared" si="11"/>
        <v>内部装修维护情况</v>
      </c>
      <c r="R44" s="700" t="s">
        <v>14</v>
      </c>
      <c r="S44" s="701">
        <f t="shared" si="12"/>
        <v>100</v>
      </c>
      <c r="T44" s="700" t="s">
        <v>14</v>
      </c>
      <c r="U44" s="701">
        <f t="shared" si="13"/>
        <v>100</v>
      </c>
      <c r="V44" s="700" t="s">
        <v>14</v>
      </c>
      <c r="W44" s="701">
        <f t="shared" si="14"/>
        <v>100</v>
      </c>
      <c r="X44" s="1347"/>
      <c r="Y44" s="3820"/>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18"/>
      <c r="Q45" s="1335">
        <f t="shared" si="11"/>
        <v>111</v>
      </c>
      <c r="R45" s="696" t="s">
        <v>14</v>
      </c>
      <c r="S45" s="697">
        <f t="shared" si="12"/>
        <v>100</v>
      </c>
      <c r="T45" s="696" t="s">
        <v>14</v>
      </c>
      <c r="U45" s="697">
        <f t="shared" si="13"/>
        <v>100</v>
      </c>
      <c r="V45" s="696" t="s">
        <v>14</v>
      </c>
      <c r="W45" s="697">
        <f t="shared" si="14"/>
        <v>100</v>
      </c>
      <c r="X45" s="698"/>
      <c r="Y45" s="3820"/>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18"/>
      <c r="Q46" s="1344">
        <f t="shared" si="11"/>
        <v>111</v>
      </c>
      <c r="R46" s="700" t="s">
        <v>14</v>
      </c>
      <c r="S46" s="701">
        <f t="shared" si="12"/>
        <v>100</v>
      </c>
      <c r="T46" s="700" t="s">
        <v>14</v>
      </c>
      <c r="U46" s="701">
        <f t="shared" si="13"/>
        <v>100</v>
      </c>
      <c r="V46" s="700" t="s">
        <v>14</v>
      </c>
      <c r="W46" s="701">
        <f t="shared" si="14"/>
        <v>100</v>
      </c>
      <c r="X46" s="1347"/>
      <c r="Y46" s="3820"/>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19"/>
      <c r="Q47" s="1344">
        <f t="shared" si="11"/>
        <v>111</v>
      </c>
      <c r="R47" s="700" t="s">
        <v>14</v>
      </c>
      <c r="S47" s="701">
        <f t="shared" si="12"/>
        <v>100</v>
      </c>
      <c r="T47" s="700" t="s">
        <v>14</v>
      </c>
      <c r="U47" s="701">
        <f t="shared" si="13"/>
        <v>100</v>
      </c>
      <c r="V47" s="700" t="s">
        <v>14</v>
      </c>
      <c r="W47" s="701">
        <f t="shared" si="14"/>
        <v>100</v>
      </c>
      <c r="X47" s="1347"/>
      <c r="Y47" s="3821"/>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50">
        <v>30000</v>
      </c>
      <c r="J48" s="433"/>
      <c r="K48" s="709"/>
      <c r="L48" s="2708"/>
      <c r="M48" s="2700"/>
      <c r="N48" s="2700"/>
      <c r="O48" s="2700"/>
      <c r="P48" s="3824" t="str">
        <f>A48</f>
        <v>成交单价（元/平方米）</v>
      </c>
      <c r="Q48" s="3813"/>
      <c r="R48" s="3814">
        <f>E48</f>
        <v>30000</v>
      </c>
      <c r="S48" s="3814"/>
      <c r="T48" s="3814">
        <f>G48</f>
        <v>30000</v>
      </c>
      <c r="U48" s="3814"/>
      <c r="V48" s="3814">
        <f>I48</f>
        <v>30000</v>
      </c>
      <c r="W48" s="3814"/>
      <c r="X48" s="396"/>
      <c r="Y48" s="707"/>
      <c r="Z48" s="396"/>
      <c r="AA48" s="396"/>
      <c r="AB48" s="396"/>
      <c r="AC48" s="574"/>
    </row>
    <row r="49" spans="1:29" ht="15.75" thickBot="1">
      <c r="A49" s="434" t="s">
        <v>1793</v>
      </c>
      <c r="B49" s="435"/>
      <c r="C49" s="1152">
        <f>R50</f>
        <v>29709</v>
      </c>
      <c r="D49" s="2305" t="s">
        <v>2137</v>
      </c>
      <c r="E49" s="1153">
        <f>R49</f>
        <v>29703</v>
      </c>
      <c r="F49" s="2306"/>
      <c r="G49" s="1152">
        <f>T49</f>
        <v>29412</v>
      </c>
      <c r="H49" s="2306"/>
      <c r="I49" s="1153">
        <f>V49</f>
        <v>30012</v>
      </c>
      <c r="J49" s="2306"/>
      <c r="K49" s="2308">
        <f>F49+H49+J49</f>
        <v>0</v>
      </c>
      <c r="L49" s="2708"/>
      <c r="M49" s="2700"/>
      <c r="N49" s="2700"/>
      <c r="O49" s="2700"/>
      <c r="P49" s="3824" t="str">
        <f>A49</f>
        <v>比较价值（元/平方米）</v>
      </c>
      <c r="Q49" s="3813"/>
      <c r="R49" s="3814">
        <f>IF(F1="售价",ROUND(PRODUCT(R48,AA7:AA47),0),ROUND(PRODUCT(R48,AA7:AA47),1))</f>
        <v>29703</v>
      </c>
      <c r="S49" s="3814"/>
      <c r="T49" s="3814">
        <f>IF(F1="售价",ROUND(PRODUCT(T48,AB7:AB47),0),ROUND(PRODUCT(T48,AB7:AB47),1))</f>
        <v>29412</v>
      </c>
      <c r="U49" s="3814"/>
      <c r="V49" s="3814">
        <f>IF(F1="售价",ROUND(PRODUCT(V48,AC7:AC47),0),ROUND(PRODUCT(V48,AC7:AC47),1))</f>
        <v>30012</v>
      </c>
      <c r="W49" s="3814"/>
      <c r="X49" s="396"/>
      <c r="Y49" s="396"/>
      <c r="Z49" s="396"/>
      <c r="AA49" s="396"/>
      <c r="AB49" s="396"/>
      <c r="AC49" s="574"/>
    </row>
    <row r="50" spans="1:29" ht="15.75" thickBot="1">
      <c r="A50" s="438" t="s">
        <v>1794</v>
      </c>
      <c r="B50" s="439"/>
      <c r="C50" s="1155">
        <f>R50</f>
        <v>29709</v>
      </c>
      <c r="D50" s="1155"/>
      <c r="E50" s="1155"/>
      <c r="F50" s="1155"/>
      <c r="G50" s="1155"/>
      <c r="H50" s="1155"/>
      <c r="I50" s="1155"/>
      <c r="J50" s="440"/>
      <c r="K50" s="710"/>
      <c r="L50" s="2708"/>
      <c r="M50" s="2700"/>
      <c r="N50" s="2700"/>
      <c r="O50" s="2700"/>
      <c r="P50" s="3921" t="str">
        <f>A50</f>
        <v>估价对象XX用房的比较价值（楼面单价，元/平方米）</v>
      </c>
      <c r="Q50" s="3922"/>
      <c r="R50" s="3923">
        <f>IF(F1="售价",ROUND(IF(D49="简单平均",AVERAGE(R49:V49),R49*F49+T49*H49+V49*J49),0),ROUND(IF(D49="简单平均",AVERAGE(R49:V49),R49*F49+T49*H49+V49*J49),1))</f>
        <v>29709</v>
      </c>
      <c r="S50" s="3923"/>
      <c r="T50" s="3923"/>
      <c r="U50" s="3923"/>
      <c r="V50" s="3923"/>
      <c r="W50" s="3923"/>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9.9989900010100108E-3</v>
      </c>
      <c r="F53" s="446" t="str">
        <f>IF(OR(E53&gt;=0.3,E53&lt;=-0.3),"超过30%","")</f>
        <v/>
      </c>
      <c r="G53" s="445">
        <f>IF(G48&lt;G49,G49/G48-1,G48/G49-1)</f>
        <v>1.9991840065279431E-2</v>
      </c>
      <c r="H53" s="446" t="str">
        <f>IF(OR(G53&gt;=0.3,G53&lt;=-0.3),"超过30%","")</f>
        <v/>
      </c>
      <c r="I53" s="445">
        <f>IF(I48&lt;I49,I49/I48-1,I48/I49-1)</f>
        <v>3.9999999999995595E-4</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9.8939208486332753E-3</v>
      </c>
      <c r="F54" s="446" t="str">
        <f>IF(OR(E54&gt;=0.2,E54&lt;=-0.2),"超过20%","")</f>
        <v/>
      </c>
      <c r="G54" s="445">
        <f>IF(G49&lt;I49,I49/G49-1,G49/I49-1)</f>
        <v>2.0399836801305637E-2</v>
      </c>
      <c r="H54" s="446" t="str">
        <f>IF(OR(G54&gt;=0.2,G54&lt;=-0.2),"超过20%","")</f>
        <v/>
      </c>
      <c r="I54" s="445">
        <f>IF(I49&lt;E49,E49/I49-1,I49/E49-1)</f>
        <v>1.0402989597010359E-2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v>
      </c>
      <c r="H55" s="446" t="str">
        <f>IF(OR(G55&gt;=0.3,G55&lt;=-0.3),"超过30%","")</f>
        <v/>
      </c>
      <c r="I55" s="445">
        <f>IF(I48&lt;E48,E48/I48-1,I48/E48-1)</f>
        <v>0</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2024-1</v>
      </c>
      <c r="D59" s="1177">
        <f>EDATE(C59,-1)</f>
        <v>45261</v>
      </c>
      <c r="E59" s="1177">
        <f>EDATE(D59,-1)</f>
        <v>45231</v>
      </c>
      <c r="F59" s="1177">
        <f t="shared" ref="F59:O59" si="16">EDATE(E59,-1)</f>
        <v>45200</v>
      </c>
      <c r="G59" s="1177">
        <f t="shared" si="16"/>
        <v>45170</v>
      </c>
      <c r="H59" s="1177">
        <f t="shared" si="16"/>
        <v>45139</v>
      </c>
      <c r="I59" s="1177">
        <f t="shared" si="16"/>
        <v>45108</v>
      </c>
      <c r="J59" s="1177">
        <f t="shared" si="16"/>
        <v>45078</v>
      </c>
      <c r="K59" s="1177">
        <f t="shared" si="16"/>
        <v>45047</v>
      </c>
      <c r="L59" s="1177">
        <f t="shared" si="16"/>
        <v>45017</v>
      </c>
      <c r="M59" s="1177">
        <f t="shared" si="16"/>
        <v>44986</v>
      </c>
      <c r="N59" s="1177">
        <f t="shared" si="16"/>
        <v>44958</v>
      </c>
      <c r="O59" s="1177">
        <f t="shared" si="16"/>
        <v>44927</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v>100</v>
      </c>
      <c r="I60" s="458">
        <v>100</v>
      </c>
      <c r="J60" s="458">
        <v>100</v>
      </c>
      <c r="K60" s="458">
        <v>100</v>
      </c>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97</v>
      </c>
      <c r="E86" s="490">
        <f>D86-$K23</f>
        <v>94</v>
      </c>
      <c r="F86" s="490">
        <f>E86-$K23</f>
        <v>91</v>
      </c>
      <c r="G86" s="490">
        <f>F86-$K23</f>
        <v>88</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4208</v>
      </c>
      <c r="D87" s="3441" t="s">
        <v>4209</v>
      </c>
      <c r="E87" s="3441" t="s">
        <v>4211</v>
      </c>
      <c r="F87" s="3441" t="s">
        <v>4212</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4203</v>
      </c>
      <c r="D89" s="3441" t="s">
        <v>4205</v>
      </c>
      <c r="E89" s="3441" t="s">
        <v>4207</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1000(含)-2000</v>
      </c>
      <c r="G103" s="524" t="str">
        <f t="shared" si="23"/>
        <v>2000(含)-3000</v>
      </c>
      <c r="H103" s="524" t="str">
        <f t="shared" si="23"/>
        <v>3000(含)-4000</v>
      </c>
      <c r="I103" s="524" t="str">
        <f t="shared" si="23"/>
        <v>4000(含)-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2000</v>
      </c>
      <c r="H104" s="541">
        <v>3000</v>
      </c>
      <c r="I104" s="541">
        <v>4000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D105-1</f>
        <v>99</v>
      </c>
      <c r="D105" s="482">
        <v>100</v>
      </c>
      <c r="E105" s="482">
        <f>D105-1</f>
        <v>99</v>
      </c>
      <c r="F105" s="482">
        <f t="shared" ref="F105:I105" si="24">E105-1</f>
        <v>98</v>
      </c>
      <c r="G105" s="482">
        <f t="shared" si="24"/>
        <v>97</v>
      </c>
      <c r="H105" s="482">
        <f t="shared" si="24"/>
        <v>96</v>
      </c>
      <c r="I105" s="482">
        <f t="shared" si="24"/>
        <v>95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3" priority="20" stopIfTrue="1" operator="containsText" text="超过">
      <formula>NOT(ISERROR(SEARCH("超过",F53)))</formula>
    </cfRule>
  </conditionalFormatting>
  <conditionalFormatting sqref="H55">
    <cfRule type="containsText" dxfId="102" priority="19" stopIfTrue="1" operator="containsText" text="超过">
      <formula>NOT(ISERROR(SEARCH("超过",H55)))</formula>
    </cfRule>
  </conditionalFormatting>
  <conditionalFormatting sqref="F55">
    <cfRule type="containsText" dxfId="101" priority="18" stopIfTrue="1" operator="containsText" text="超过">
      <formula>NOT(ISERROR(SEARCH("超过",F55)))</formula>
    </cfRule>
  </conditionalFormatting>
  <conditionalFormatting sqref="F54 H54">
    <cfRule type="containsText" dxfId="100" priority="17" stopIfTrue="1" operator="containsText" text="超过">
      <formula>NOT(ISERROR(SEARCH("超过",F54)))</formula>
    </cfRule>
  </conditionalFormatting>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G55">
    <cfRule type="expression" dxfId="96" priority="13" stopIfTrue="1">
      <formula>$H$55="超过30%"</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J53">
    <cfRule type="containsText" dxfId="93" priority="10" stopIfTrue="1" operator="containsText" text="超过">
      <formula>NOT(ISERROR(SEARCH("超过",J53)))</formula>
    </cfRule>
  </conditionalFormatting>
  <conditionalFormatting sqref="J55">
    <cfRule type="containsText" dxfId="92" priority="9" stopIfTrue="1" operator="containsText" text="超过">
      <formula>NOT(ISERROR(SEARCH("超过",J55)))</formula>
    </cfRule>
  </conditionalFormatting>
  <conditionalFormatting sqref="J54">
    <cfRule type="containsText" dxfId="91" priority="8" stopIfTrue="1" operator="containsText" text="超过">
      <formula>NOT(ISERROR(SEARCH("超过",J54)))</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40.96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1689.7769000000001</v>
      </c>
      <c r="C2" s="1379" t="s">
        <v>879</v>
      </c>
      <c r="D2" s="1463">
        <f ca="1">C40+J29+L46</f>
        <v>16897769</v>
      </c>
      <c r="E2" s="1380" t="s">
        <v>880</v>
      </c>
      <c r="F2" s="1381"/>
      <c r="G2" s="2690"/>
      <c r="H2" s="2679"/>
      <c r="I2" s="2679"/>
      <c r="J2" s="2679"/>
      <c r="K2" s="2680"/>
      <c r="L2" s="2679"/>
      <c r="M2" s="2679"/>
    </row>
    <row r="3" spans="1:37" ht="18" customHeight="1" thickBot="1">
      <c r="A3" s="1382" t="s">
        <v>806</v>
      </c>
      <c r="B3" s="1383">
        <f ca="1">IF(ISERROR(D2/F43),0,ROUND(D2/F43,0))</f>
        <v>15067</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1401768</v>
      </c>
      <c r="D5" s="1356" t="s">
        <v>889</v>
      </c>
      <c r="E5" s="1063"/>
      <c r="F5" s="1064"/>
      <c r="G5" s="1376"/>
      <c r="H5" s="299">
        <v>1</v>
      </c>
      <c r="I5" s="300" t="s">
        <v>888</v>
      </c>
      <c r="J5" s="1062">
        <f ca="1">J6+J10+J12</f>
        <v>0</v>
      </c>
      <c r="K5" s="1356" t="s">
        <v>889</v>
      </c>
      <c r="L5" s="1063"/>
      <c r="M5" s="1064"/>
    </row>
    <row r="6" spans="1:37" ht="18" customHeight="1">
      <c r="A6" s="1061" t="s">
        <v>398</v>
      </c>
      <c r="B6" s="3867" t="s">
        <v>694</v>
      </c>
      <c r="C6" s="1066">
        <f ca="1">ROUND(F6*F8*F7*(1-F9),0)</f>
        <v>1400018</v>
      </c>
      <c r="D6" s="155" t="s">
        <v>2105</v>
      </c>
      <c r="E6" s="302" t="s">
        <v>696</v>
      </c>
      <c r="F6" s="303">
        <f ca="1">INDIRECT("'数据-取费表'!u"&amp;$G$1)</f>
        <v>3.8</v>
      </c>
      <c r="G6" s="1376"/>
      <c r="H6" s="1061" t="s">
        <v>398</v>
      </c>
      <c r="I6" s="3867" t="s">
        <v>694</v>
      </c>
      <c r="J6" s="301">
        <f ca="1">ROUND(M6*M8*M7*(1-M9),0)</f>
        <v>0</v>
      </c>
      <c r="K6" s="1368" t="s">
        <v>2106</v>
      </c>
      <c r="L6" s="302" t="s">
        <v>696</v>
      </c>
      <c r="M6" s="303">
        <f ca="1">INDIRECT("'数据-取费表'!z"&amp;$G$1)</f>
        <v>0</v>
      </c>
    </row>
    <row r="7" spans="1:37" ht="18" customHeight="1">
      <c r="A7" s="1065"/>
      <c r="B7" s="3868"/>
      <c r="C7" s="1067"/>
      <c r="D7" s="307"/>
      <c r="E7" s="3502" t="s">
        <v>697</v>
      </c>
      <c r="F7" s="303">
        <f ca="1">IF(INDIRECT("'数据-取费表'!ah"&amp;$G$1)="",INDIRECT("'数据-取费表'!k"&amp;$G$1),INDIRECT("'数据-取费表'!ah"&amp;$G$1))</f>
        <v>1121.54</v>
      </c>
      <c r="G7" s="1376"/>
      <c r="H7" s="304"/>
      <c r="I7" s="3868"/>
      <c r="J7" s="306"/>
      <c r="K7" s="307"/>
      <c r="L7" s="302" t="s">
        <v>697</v>
      </c>
      <c r="M7" s="303">
        <f ca="1">F7</f>
        <v>1121.54</v>
      </c>
    </row>
    <row r="8" spans="1:37" ht="18" customHeight="1">
      <c r="A8" s="304"/>
      <c r="B8" s="3868"/>
      <c r="C8" s="306"/>
      <c r="D8" s="307"/>
      <c r="E8" s="302" t="s">
        <v>698</v>
      </c>
      <c r="F8" s="303">
        <f ca="1">INDIRECT("'数据-取费表'!ai"&amp;$G$1)</f>
        <v>365</v>
      </c>
      <c r="G8" s="1376"/>
      <c r="H8" s="304"/>
      <c r="I8" s="3868"/>
      <c r="J8" s="306"/>
      <c r="K8" s="307"/>
      <c r="L8" s="302" t="s">
        <v>698</v>
      </c>
      <c r="M8" s="303">
        <f ca="1">INDIRECT("'数据-取费表'!ai"&amp;$G$1)</f>
        <v>365</v>
      </c>
    </row>
    <row r="9" spans="1:37" ht="18" customHeight="1">
      <c r="A9" s="304"/>
      <c r="B9" s="3869"/>
      <c r="C9" s="306"/>
      <c r="D9" s="307"/>
      <c r="E9" s="302" t="s">
        <v>699</v>
      </c>
      <c r="F9" s="312">
        <f ca="1">INDIRECT("'数据-取费表'!w"&amp;$G$1)</f>
        <v>0.1</v>
      </c>
      <c r="G9" s="1376"/>
      <c r="H9" s="304"/>
      <c r="I9" s="3869"/>
      <c r="J9" s="306"/>
      <c r="K9" s="307"/>
      <c r="L9" s="313" t="s">
        <v>699</v>
      </c>
      <c r="M9" s="314">
        <f ca="1">INDIRECT("'数据-取费表'!ab"&amp;$G$1)</f>
        <v>0</v>
      </c>
    </row>
    <row r="10" spans="1:37" ht="18" customHeight="1">
      <c r="A10" s="1061" t="s">
        <v>402</v>
      </c>
      <c r="B10" s="1357" t="s">
        <v>700</v>
      </c>
      <c r="C10" s="316">
        <f ca="1">ROUND(IF(F10="押一",C6/12*F11,IF(F10="押二",C6/12*2*F11,IF(F10="押三",C6/12*3*F11,C11*F11))),0)</f>
        <v>1750</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9252224</v>
      </c>
      <c r="D13" s="3479" t="s">
        <v>705</v>
      </c>
      <c r="E13" s="3479" t="s">
        <v>706</v>
      </c>
      <c r="F13" s="1074">
        <f ca="1">INDIRECT("'数据-取费表'!y"&amp;$G$1)</f>
        <v>0.95</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6729240</v>
      </c>
      <c r="D14" s="3491" t="s">
        <v>708</v>
      </c>
      <c r="E14" s="3484"/>
      <c r="F14" s="319"/>
      <c r="G14" s="1376"/>
      <c r="H14" s="974" t="s">
        <v>398</v>
      </c>
      <c r="I14" s="302" t="s">
        <v>709</v>
      </c>
      <c r="J14" s="21">
        <f ca="1">C29</f>
        <v>9739183</v>
      </c>
      <c r="K14" s="3500"/>
      <c r="L14" s="799"/>
      <c r="M14" s="800"/>
    </row>
    <row r="15" spans="1:37" s="1389" customFormat="1" ht="18" customHeight="1" thickBot="1">
      <c r="A15" s="974" t="s">
        <v>399</v>
      </c>
      <c r="B15" s="302" t="s">
        <v>710</v>
      </c>
      <c r="C15" s="21">
        <f ca="1">ROUND(C14*F15,0)</f>
        <v>336462</v>
      </c>
      <c r="D15" s="3480" t="s">
        <v>711</v>
      </c>
      <c r="E15" s="3480" t="s">
        <v>712</v>
      </c>
      <c r="F15" s="321">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48696</v>
      </c>
      <c r="K16" s="1079" t="s">
        <v>715</v>
      </c>
      <c r="L16" s="3494"/>
      <c r="M16" s="1064"/>
    </row>
    <row r="17" spans="1:37" s="1389" customFormat="1" ht="18" customHeight="1">
      <c r="A17" s="974" t="s">
        <v>681</v>
      </c>
      <c r="B17" s="302" t="s">
        <v>716</v>
      </c>
      <c r="C17" s="21">
        <f ca="1">ROUND(F17*(F43+INDIRECT("'数据-取费表'!S"&amp;$G$1)),0)</f>
        <v>224308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100939</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7390949</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147819</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48696</v>
      </c>
      <c r="K22" s="3489" t="s">
        <v>739</v>
      </c>
      <c r="L22" s="302" t="s">
        <v>712</v>
      </c>
      <c r="M22" s="328">
        <f ca="1">INDIRECT("'数据-取费表'!Ak"&amp;$G$1)</f>
        <v>5.0000000000000001E-3</v>
      </c>
    </row>
    <row r="23" spans="1:37" s="1389" customFormat="1" ht="18" customHeight="1">
      <c r="A23" s="974" t="s">
        <v>397</v>
      </c>
      <c r="B23" s="302" t="s">
        <v>740</v>
      </c>
      <c r="C23" s="21">
        <f ca="1">IF('数据-取费表'!B22&lt;=1,ROUND(C19*F24*F23/2,0)+ROUND(C20*F24*F23/2,0),ROUND(C19*(POWER((1+F24),F23/2)-1),0)+ROUND(C20*(POWER((1+F24),F23/2)-1),0))</f>
        <v>326500</v>
      </c>
      <c r="D23" s="329" t="str">
        <f>IF(F23&lt;=1,"(建造成本+管理费用)×利率×(建设周期÷2)","(建造成本+管理费用)×((1+利率)^(建设周期÷2)-1)")</f>
        <v>(建造成本+管理费用)×((1+利率)^(建设周期÷2)-1)</v>
      </c>
      <c r="E23" s="302" t="s">
        <v>741</v>
      </c>
      <c r="F23" s="325">
        <f>'数据-取费表'!B20</f>
        <v>2.5</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-48696</v>
      </c>
      <c r="K25" s="1087" t="s">
        <v>753</v>
      </c>
      <c r="L25" s="1088"/>
      <c r="M25" s="1089"/>
    </row>
    <row r="26" spans="1:37" ht="18" customHeight="1">
      <c r="A26" s="974" t="s">
        <v>397</v>
      </c>
      <c r="B26" s="302" t="s">
        <v>754</v>
      </c>
      <c r="C26" s="21">
        <f ca="1">ROUND((C19+C20)*F26,0)</f>
        <v>1130815</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0.06</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9739183</v>
      </c>
      <c r="D29" s="1084"/>
      <c r="E29" s="1082"/>
      <c r="F29" s="1085"/>
      <c r="G29" s="1388"/>
      <c r="H29" s="334" t="s">
        <v>396</v>
      </c>
      <c r="I29" s="335" t="s">
        <v>768</v>
      </c>
      <c r="J29" s="336">
        <f ca="1">ROUND(J26/(1+F40)^F41,0)</f>
        <v>0</v>
      </c>
      <c r="K29" s="337" t="s">
        <v>769</v>
      </c>
      <c r="L29" s="338"/>
      <c r="M29" s="339">
        <f ca="1">INDIRECT("'数据-取费表'!k"&amp;$G$1)</f>
        <v>1121.54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298566</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233609</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73334</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160002</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273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'商办车库-新'!G280</f>
        <v>181.92</v>
      </c>
      <c r="G35" s="1376"/>
      <c r="H35" s="2681"/>
      <c r="I35" s="1390"/>
      <c r="J35" s="1391"/>
      <c r="K35" s="2685"/>
      <c r="L35" s="2684"/>
      <c r="M35" s="2684"/>
    </row>
    <row r="36" spans="1:18" ht="18" customHeight="1">
      <c r="A36" s="1094" t="s">
        <v>402</v>
      </c>
      <c r="B36" s="302" t="s">
        <v>738</v>
      </c>
      <c r="C36" s="21">
        <f ca="1">ROUND(C29*F36,0)</f>
        <v>48696</v>
      </c>
      <c r="D36" s="3489" t="s">
        <v>771</v>
      </c>
      <c r="E36" s="302" t="s">
        <v>712</v>
      </c>
      <c r="F36" s="328">
        <f ca="1">INDIRECT("'数据-取费表'!Ak"&amp;$G$1)</f>
        <v>5.0000000000000001E-3</v>
      </c>
      <c r="G36" s="1376"/>
      <c r="H36" s="2684"/>
      <c r="I36" s="1390"/>
      <c r="J36" s="1391"/>
      <c r="K36" s="2529"/>
      <c r="L36" s="2684"/>
      <c r="M36" s="2684"/>
    </row>
    <row r="37" spans="1:18" ht="18" customHeight="1">
      <c r="A37" s="974" t="s">
        <v>437</v>
      </c>
      <c r="B37" s="302" t="s">
        <v>742</v>
      </c>
      <c r="C37" s="21">
        <f ca="1">ROUND(C13*F37,0)</f>
        <v>9252</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7009</v>
      </c>
      <c r="D38" s="1084" t="s">
        <v>748</v>
      </c>
      <c r="E38" s="1082" t="s">
        <v>712</v>
      </c>
      <c r="F38" s="1078">
        <f ca="1">INDIRECT("'数据-取费表'!Am"&amp;$G$1)</f>
        <v>5.0000000000000001E-3</v>
      </c>
      <c r="G38" s="1376"/>
      <c r="H38" s="2684"/>
      <c r="I38" s="1390"/>
      <c r="J38" s="1391"/>
      <c r="K38" s="2688"/>
      <c r="L38" s="2684"/>
      <c r="M38" s="2684"/>
    </row>
    <row r="39" spans="1:18" ht="24.6" customHeight="1" thickTop="1">
      <c r="A39" s="1071" t="s">
        <v>394</v>
      </c>
      <c r="B39" s="1086" t="s">
        <v>752</v>
      </c>
      <c r="C39" s="310">
        <f ca="1">C5-C30</f>
        <v>1103202</v>
      </c>
      <c r="D39" s="1087" t="s">
        <v>773</v>
      </c>
      <c r="E39" s="1088"/>
      <c r="F39" s="1089"/>
      <c r="G39" s="1376"/>
      <c r="H39" s="2684"/>
      <c r="I39" s="1390"/>
      <c r="J39" s="1391"/>
      <c r="K39" s="2688"/>
      <c r="L39" s="2684"/>
      <c r="M39" s="2684"/>
    </row>
    <row r="40" spans="1:18" ht="18" customHeight="1">
      <c r="A40" s="299" t="s">
        <v>395</v>
      </c>
      <c r="B40" s="300" t="s">
        <v>774</v>
      </c>
      <c r="C40" s="301">
        <f ca="1">ROUND(C39*(1-((1+F42)/(1+F40))^F41)/(F40-F42),0)</f>
        <v>16696354</v>
      </c>
      <c r="D40" s="324" t="s">
        <v>758</v>
      </c>
      <c r="E40" s="302" t="s">
        <v>759</v>
      </c>
      <c r="F40" s="312">
        <f ca="1">INDIRECT("'数据-取费表'!I"&amp;$G$1)</f>
        <v>0.06</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40.96</v>
      </c>
      <c r="G41" s="1376"/>
      <c r="H41" s="1183"/>
      <c r="I41" s="1390"/>
      <c r="J41" s="1391"/>
      <c r="K41" s="2529"/>
      <c r="L41" s="1183"/>
      <c r="M41" s="1183"/>
    </row>
    <row r="42" spans="1:18" ht="18" customHeight="1">
      <c r="A42" s="308"/>
      <c r="B42" s="309"/>
      <c r="C42" s="310"/>
      <c r="D42" s="327"/>
      <c r="E42" s="302" t="s">
        <v>766</v>
      </c>
      <c r="F42" s="312">
        <f ca="1">INDIRECT("'数据-取费表'!v"&amp;$G$1)</f>
        <v>0</v>
      </c>
      <c r="G42" s="1376"/>
      <c r="H42" s="1183"/>
      <c r="I42" s="1390"/>
      <c r="J42" s="1391"/>
      <c r="K42" s="2529"/>
      <c r="L42" s="1183"/>
      <c r="M42" s="1183"/>
    </row>
    <row r="43" spans="1:18" ht="18" customHeight="1" thickBot="1">
      <c r="A43" s="334" t="s">
        <v>396</v>
      </c>
      <c r="B43" s="335" t="s">
        <v>776</v>
      </c>
      <c r="C43" s="336">
        <f ca="1">ROUND(C40/F43,0)</f>
        <v>14887</v>
      </c>
      <c r="D43" s="337" t="s">
        <v>777</v>
      </c>
      <c r="E43" s="338" t="s">
        <v>778</v>
      </c>
      <c r="F43" s="339">
        <f ca="1">INDIRECT("'数据-取费表'!k"&amp;$G$1)</f>
        <v>1121.54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-1757.7497000000001</v>
      </c>
      <c r="D45" s="3415" t="s">
        <v>3354</v>
      </c>
      <c r="E45" s="1392"/>
      <c r="F45" s="1392"/>
      <c r="O45" s="1395" t="s">
        <v>808</v>
      </c>
      <c r="P45" s="1453"/>
      <c r="Q45" s="1453"/>
      <c r="R45" s="1453"/>
    </row>
    <row r="46" spans="1:18" s="1376" customFormat="1" ht="13.5" thickBot="1">
      <c r="A46" s="1396" t="s">
        <v>809</v>
      </c>
      <c r="C46" s="1397">
        <f ca="1">ROUND(C45,0)</f>
        <v>-1758</v>
      </c>
      <c r="D46" s="1398" t="str">
        <f>C2</f>
        <v>万元</v>
      </c>
      <c r="I46" s="1399" t="s">
        <v>810</v>
      </c>
      <c r="J46" s="1400"/>
      <c r="K46" s="1401"/>
      <c r="L46" s="1402">
        <f ca="1">IF(M47="住宅",0,IF(L48&gt;J51,L60,J60))</f>
        <v>201415</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16696354</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40.96</v>
      </c>
      <c r="O48" s="1410" t="s">
        <v>404</v>
      </c>
      <c r="P48" s="1411" t="s">
        <v>821</v>
      </c>
      <c r="Q48" s="1412">
        <f ca="1">J60</f>
        <v>201415</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9739183</v>
      </c>
      <c r="R49" s="1412" t="s">
        <v>818</v>
      </c>
    </row>
    <row r="50" spans="1:18" s="1376" customFormat="1" ht="13.5" thickBot="1">
      <c r="A50" s="968"/>
      <c r="B50" s="971"/>
      <c r="C50" s="972"/>
      <c r="D50" s="945"/>
      <c r="E50" s="1048" t="s">
        <v>697</v>
      </c>
      <c r="F50" s="1049">
        <f ca="1">F7</f>
        <v>1121.54</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57</v>
      </c>
      <c r="K51" s="1426" t="s">
        <v>830</v>
      </c>
      <c r="L51" s="1427">
        <f ca="1">ROUND(-PV(INDIRECT("'数据-取费表'!h"&amp;$G$1),J51,(C39-C13*C76),0),0)</f>
        <v>8546285</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40.96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40.96</v>
      </c>
      <c r="K53" s="3865" t="s">
        <v>837</v>
      </c>
      <c r="L53" s="3866"/>
      <c r="O53" s="1410" t="s">
        <v>409</v>
      </c>
      <c r="P53" s="1411" t="s">
        <v>838</v>
      </c>
      <c r="Q53" s="1412">
        <f ca="1">Q47+Q48</f>
        <v>16897769</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0.26700000000000002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9252224</v>
      </c>
      <c r="D56" s="1439"/>
      <c r="E56" s="1440"/>
      <c r="F56" s="1432"/>
      <c r="I56" s="1441" t="s">
        <v>842</v>
      </c>
      <c r="J56" s="1442" t="s">
        <v>3387</v>
      </c>
      <c r="K56" s="1413" t="s">
        <v>843</v>
      </c>
      <c r="L56" s="1416" t="str">
        <f ca="1">IF(L48&lt;J51,"——",L48-J51)</f>
        <v>——</v>
      </c>
      <c r="O56" s="1410" t="s">
        <v>403</v>
      </c>
      <c r="P56" s="1411" t="s">
        <v>817</v>
      </c>
      <c r="Q56" s="1412">
        <f ca="1">C40+J29</f>
        <v>16696354</v>
      </c>
      <c r="R56" s="1412" t="s">
        <v>818</v>
      </c>
    </row>
    <row r="57" spans="1:18" s="1376" customFormat="1" ht="24.75" thickBot="1">
      <c r="A57" s="1443"/>
      <c r="B57" s="942" t="s">
        <v>767</v>
      </c>
      <c r="C57" s="238">
        <f ca="1">C29</f>
        <v>9739183</v>
      </c>
      <c r="D57" s="1444"/>
      <c r="E57" s="1445"/>
      <c r="F57" s="1446"/>
      <c r="I57" s="1447" t="s">
        <v>844</v>
      </c>
      <c r="J57" s="1448">
        <f ca="1">IF(OR(M47="住宅",J51&lt;L48,J56="是"),"——",J51-L48)</f>
        <v>16.04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58221</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273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3895673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201415</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273</v>
      </c>
      <c r="D62" s="957" t="s">
        <v>786</v>
      </c>
      <c r="E62" s="942" t="s">
        <v>787</v>
      </c>
      <c r="F62" s="325">
        <f t="shared" si="0"/>
        <v>1.5</v>
      </c>
      <c r="I62" s="1454" t="s">
        <v>858</v>
      </c>
      <c r="J62" s="1455" t="s">
        <v>859</v>
      </c>
      <c r="K62" s="1455" t="s">
        <v>860</v>
      </c>
      <c r="L62" s="1455" t="s">
        <v>861</v>
      </c>
      <c r="M62" s="1456" t="s">
        <v>862</v>
      </c>
      <c r="O62" s="1410" t="s">
        <v>409</v>
      </c>
      <c r="P62" s="1411" t="s">
        <v>863</v>
      </c>
      <c r="Q62" s="1412">
        <f ca="1">Q56+Q57</f>
        <v>16696354</v>
      </c>
      <c r="R62" s="1412" t="s">
        <v>410</v>
      </c>
    </row>
    <row r="63" spans="1:18" s="1376" customFormat="1" ht="13.5" thickBot="1">
      <c r="A63" s="326"/>
      <c r="B63" s="948"/>
      <c r="C63" s="26"/>
      <c r="D63" s="958"/>
      <c r="E63" s="942" t="s">
        <v>788</v>
      </c>
      <c r="F63" s="303">
        <f t="shared" si="0"/>
        <v>181.92</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48696</v>
      </c>
      <c r="D64" s="956" t="s">
        <v>791</v>
      </c>
      <c r="E64" s="942" t="s">
        <v>783</v>
      </c>
      <c r="F64" s="328">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9252</v>
      </c>
      <c r="D65" s="956" t="s">
        <v>743</v>
      </c>
      <c r="E65" s="942" t="s">
        <v>712</v>
      </c>
      <c r="F65" s="330">
        <f t="shared" ca="1" si="0"/>
        <v>1E-3</v>
      </c>
      <c r="I65" s="1454" t="s">
        <v>867</v>
      </c>
      <c r="J65" s="1455">
        <v>40</v>
      </c>
      <c r="K65" s="1455">
        <v>30</v>
      </c>
      <c r="L65" s="1455">
        <v>50</v>
      </c>
      <c r="M65" s="1457">
        <v>0.02</v>
      </c>
      <c r="O65" s="1410" t="s">
        <v>403</v>
      </c>
      <c r="P65" s="1411" t="s">
        <v>868</v>
      </c>
      <c r="Q65" s="1412">
        <f ca="1">C40+J29</f>
        <v>16696354</v>
      </c>
      <c r="R65" s="1412" t="s">
        <v>818</v>
      </c>
    </row>
    <row r="66" spans="1:18" s="1376" customFormat="1" ht="16.5" thickBot="1">
      <c r="A66" s="974" t="s">
        <v>793</v>
      </c>
      <c r="B66" s="942" t="s">
        <v>728</v>
      </c>
      <c r="C66" s="21">
        <f ca="1">ROUND(C48*F66,0)</f>
        <v>0</v>
      </c>
      <c r="D66" s="956" t="s">
        <v>794</v>
      </c>
      <c r="E66" s="942" t="s">
        <v>712</v>
      </c>
      <c r="F66" s="312">
        <f t="shared" ca="1" si="0"/>
        <v>5.0000000000000001E-3</v>
      </c>
      <c r="O66" s="1410" t="s">
        <v>404</v>
      </c>
      <c r="P66" s="1411" t="s">
        <v>846</v>
      </c>
      <c r="Q66" s="1412">
        <f ca="1">L60</f>
        <v>0</v>
      </c>
      <c r="R66" s="1412" t="s">
        <v>869</v>
      </c>
    </row>
    <row r="67" spans="1:18" s="1376" customFormat="1" ht="16.5" thickBot="1">
      <c r="A67" s="949" t="s">
        <v>394</v>
      </c>
      <c r="B67" s="959" t="s">
        <v>752</v>
      </c>
      <c r="C67" s="316">
        <f ca="1">C48-C58</f>
        <v>-58221</v>
      </c>
      <c r="D67" s="955" t="s">
        <v>753</v>
      </c>
      <c r="E67" s="960"/>
      <c r="F67" s="961"/>
      <c r="O67" s="1420" t="s">
        <v>405</v>
      </c>
      <c r="P67" s="1411" t="s">
        <v>850</v>
      </c>
      <c r="Q67" s="1458">
        <f ca="1">L51</f>
        <v>8546285</v>
      </c>
      <c r="R67" s="1412" t="s">
        <v>870</v>
      </c>
    </row>
    <row r="68" spans="1:18" s="1376" customFormat="1" ht="16.5" thickBot="1">
      <c r="A68" s="939" t="s">
        <v>395</v>
      </c>
      <c r="B68" s="940" t="s">
        <v>774</v>
      </c>
      <c r="C68" s="301">
        <f ca="1">ROUND(C67*(1-((1+F70)/(1+F68))^F69)/(F68-F70),0)</f>
        <v>-881143</v>
      </c>
      <c r="D68" s="957" t="s">
        <v>758</v>
      </c>
      <c r="E68" s="942" t="s">
        <v>759</v>
      </c>
      <c r="F68" s="312">
        <f ca="1">F40</f>
        <v>0.06</v>
      </c>
      <c r="O68" s="1420" t="s">
        <v>406</v>
      </c>
      <c r="P68" s="1459" t="s">
        <v>871</v>
      </c>
      <c r="Q68" s="1412">
        <f ca="1">ROUND(Q69-Q70*Q71,0)</f>
        <v>455546</v>
      </c>
      <c r="R68" s="1412" t="s">
        <v>414</v>
      </c>
    </row>
    <row r="69" spans="1:18" s="1376" customFormat="1" ht="13.5" thickBot="1">
      <c r="A69" s="943"/>
      <c r="B69" s="944"/>
      <c r="C69" s="306"/>
      <c r="D69" s="962" t="s">
        <v>762</v>
      </c>
      <c r="E69" s="942" t="s">
        <v>763</v>
      </c>
      <c r="F69" s="333">
        <f ca="1">F41</f>
        <v>40.96</v>
      </c>
      <c r="O69" s="1420" t="s">
        <v>411</v>
      </c>
      <c r="P69" s="1459" t="s">
        <v>872</v>
      </c>
      <c r="Q69" s="1412">
        <f ca="1">C39</f>
        <v>1103202</v>
      </c>
      <c r="R69" s="1412" t="s">
        <v>818</v>
      </c>
    </row>
    <row r="70" spans="1:18" s="1376" customFormat="1" ht="13.5" thickBot="1">
      <c r="A70" s="946"/>
      <c r="B70" s="947"/>
      <c r="C70" s="310"/>
      <c r="D70" s="958"/>
      <c r="E70" s="942" t="s">
        <v>766</v>
      </c>
      <c r="F70" s="1046"/>
      <c r="O70" s="1420" t="s">
        <v>412</v>
      </c>
      <c r="P70" s="1459" t="s">
        <v>873</v>
      </c>
      <c r="Q70" s="1412">
        <f ca="1">C13</f>
        <v>9252224</v>
      </c>
      <c r="R70" s="1412" t="s">
        <v>818</v>
      </c>
    </row>
    <row r="71" spans="1:18" s="1376" customFormat="1" ht="13.5" thickBot="1">
      <c r="A71" s="963" t="s">
        <v>396</v>
      </c>
      <c r="B71" s="964" t="s">
        <v>776</v>
      </c>
      <c r="C71" s="336">
        <f ca="1">ROUND(C68/F71,0)</f>
        <v>-786</v>
      </c>
      <c r="D71" s="965" t="s">
        <v>777</v>
      </c>
      <c r="E71" s="966" t="s">
        <v>778</v>
      </c>
      <c r="F71" s="339">
        <f ca="1">F43</f>
        <v>1121.54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647656</v>
      </c>
      <c r="D75" s="1376"/>
      <c r="E75" s="1376"/>
      <c r="F75" s="1376"/>
      <c r="K75" s="1394"/>
      <c r="L75" s="1376"/>
      <c r="O75" s="1410" t="s">
        <v>409</v>
      </c>
      <c r="P75" s="1411" t="s">
        <v>838</v>
      </c>
      <c r="Q75" s="1412">
        <f ca="1">Q65+Q66</f>
        <v>16696354</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0.41300000000000003</v>
      </c>
    </row>
    <row r="80" spans="1:18">
      <c r="B80" s="340" t="s">
        <v>800</v>
      </c>
      <c r="C80" s="274">
        <f ca="1">ROUND(C75/C39,3)</f>
        <v>0.58699999999999997</v>
      </c>
    </row>
    <row r="81" spans="2:3">
      <c r="B81" s="270" t="s">
        <v>801</v>
      </c>
      <c r="C81" s="238"/>
    </row>
    <row r="82" spans="2:3">
      <c r="B82" s="273" t="s">
        <v>802</v>
      </c>
      <c r="C82" s="275">
        <f ca="1">1-C83</f>
        <v>0.44599999999999995</v>
      </c>
    </row>
    <row r="83" spans="2:3">
      <c r="B83" s="273" t="s">
        <v>803</v>
      </c>
      <c r="C83" s="274">
        <f ca="1">ROUND(C13/C40,3)</f>
        <v>0.55400000000000005</v>
      </c>
    </row>
  </sheetData>
  <sheetProtection formatCells="0" formatColumns="0" formatRows="0"/>
  <mergeCells count="3">
    <mergeCell ref="B6:B9"/>
    <mergeCell ref="I6:I9"/>
    <mergeCell ref="K53:L53"/>
  </mergeCells>
  <phoneticPr fontId="13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61" activePane="bottomLeft" state="frozen"/>
      <selection activeCell="C50" sqref="C50"/>
      <selection pane="bottomLeft" activeCell="R58" sqref="R58:S81"/>
    </sheetView>
  </sheetViews>
  <sheetFormatPr defaultColWidth="9" defaultRowHeight="12.75"/>
  <cols>
    <col min="1" max="1" width="11.5" style="130" customWidth="1"/>
    <col min="2" max="2" width="9.25" style="24" customWidth="1"/>
    <col min="3" max="3" width="8.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4" t="s">
        <v>2084</v>
      </c>
      <c r="D1" s="3895"/>
      <c r="E1" s="3895"/>
      <c r="F1" s="3895"/>
      <c r="G1" s="3895"/>
      <c r="H1" s="3895"/>
      <c r="I1" s="3895"/>
      <c r="J1" s="3895"/>
      <c r="K1" s="3895"/>
      <c r="L1" s="3895"/>
      <c r="M1" s="3895"/>
      <c r="N1" s="3895"/>
      <c r="O1" s="3895"/>
      <c r="P1" s="3895"/>
      <c r="Q1" s="3895"/>
      <c r="R1" s="3895"/>
      <c r="S1" s="3896"/>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1000(含)-2000</v>
      </c>
      <c r="G2" s="649" t="str">
        <f t="shared" si="0"/>
        <v>2000(含)-3000</v>
      </c>
      <c r="H2" s="649" t="str">
        <f t="shared" si="0"/>
        <v>3000(含)-4000</v>
      </c>
      <c r="I2" s="649" t="str">
        <f t="shared" si="0"/>
        <v>4000(含)-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f>'比较法-办公'!C104</f>
        <v>0</v>
      </c>
      <c r="D3" s="541">
        <f>'比较法-办公'!D104</f>
        <v>300</v>
      </c>
      <c r="E3" s="541">
        <f>'比较法-办公'!E104</f>
        <v>500</v>
      </c>
      <c r="F3" s="541">
        <f>'比较法-办公'!F104</f>
        <v>1000</v>
      </c>
      <c r="G3" s="541">
        <f>'比较法-办公'!G104</f>
        <v>2000</v>
      </c>
      <c r="H3" s="541">
        <f>'比较法-办公'!H104</f>
        <v>3000</v>
      </c>
      <c r="I3" s="541">
        <f>'比较法-办公'!I104</f>
        <v>4000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41">
        <f>'比较法-办公'!C105</f>
        <v>99</v>
      </c>
      <c r="D4" s="541">
        <f>'比较法-办公'!D105</f>
        <v>100</v>
      </c>
      <c r="E4" s="541">
        <f>'比较法-办公'!E105</f>
        <v>99</v>
      </c>
      <c r="F4" s="541">
        <f>'比较法-办公'!F105</f>
        <v>98</v>
      </c>
      <c r="G4" s="541">
        <f>'比较法-办公'!G105</f>
        <v>97</v>
      </c>
      <c r="H4" s="541">
        <f>'比较法-办公'!H105</f>
        <v>96</v>
      </c>
      <c r="I4" s="541">
        <f>'比较法-办公'!I105</f>
        <v>95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1">D6-$T5</f>
        <v>100</v>
      </c>
      <c r="F6" s="1308">
        <f t="shared" si="1"/>
        <v>100</v>
      </c>
      <c r="G6" s="1308">
        <f t="shared" si="1"/>
        <v>100</v>
      </c>
      <c r="H6" s="1308">
        <f t="shared" si="1"/>
        <v>100</v>
      </c>
      <c r="I6" s="1308">
        <f t="shared" si="1"/>
        <v>100</v>
      </c>
      <c r="J6" s="1308">
        <f t="shared" si="1"/>
        <v>100</v>
      </c>
      <c r="K6" s="1308">
        <f t="shared" si="1"/>
        <v>100</v>
      </c>
      <c r="L6" s="1308">
        <f t="shared" si="1"/>
        <v>100</v>
      </c>
      <c r="M6" s="1308">
        <f t="shared" si="1"/>
        <v>100</v>
      </c>
      <c r="N6" s="1308">
        <f t="shared" si="1"/>
        <v>100</v>
      </c>
      <c r="O6" s="1308">
        <f t="shared" si="1"/>
        <v>100</v>
      </c>
      <c r="P6" s="1308">
        <f t="shared" si="1"/>
        <v>100</v>
      </c>
      <c r="Q6" s="1308">
        <f t="shared" si="1"/>
        <v>100</v>
      </c>
      <c r="R6" s="1308">
        <f t="shared" si="1"/>
        <v>100</v>
      </c>
      <c r="S6" s="1308">
        <f t="shared" si="1"/>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2">D8-$T7</f>
        <v>100</v>
      </c>
      <c r="F8" s="1308">
        <f t="shared" si="2"/>
        <v>100</v>
      </c>
      <c r="G8" s="1308">
        <f t="shared" si="2"/>
        <v>100</v>
      </c>
      <c r="H8" s="1308">
        <f t="shared" si="2"/>
        <v>100</v>
      </c>
      <c r="I8" s="1308">
        <f t="shared" si="2"/>
        <v>100</v>
      </c>
      <c r="J8" s="1308">
        <f t="shared" si="2"/>
        <v>100</v>
      </c>
      <c r="K8" s="1308">
        <f t="shared" si="2"/>
        <v>100</v>
      </c>
      <c r="L8" s="1308">
        <f t="shared" si="2"/>
        <v>100</v>
      </c>
      <c r="M8" s="1308">
        <f t="shared" si="2"/>
        <v>100</v>
      </c>
      <c r="N8" s="1308">
        <f t="shared" si="2"/>
        <v>100</v>
      </c>
      <c r="O8" s="1308">
        <f t="shared" si="2"/>
        <v>100</v>
      </c>
      <c r="P8" s="1308">
        <f t="shared" si="2"/>
        <v>100</v>
      </c>
      <c r="Q8" s="1308">
        <f t="shared" si="2"/>
        <v>100</v>
      </c>
      <c r="R8" s="1308">
        <f t="shared" si="2"/>
        <v>100</v>
      </c>
      <c r="S8" s="1308">
        <f t="shared" si="2"/>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3">D10-$T9</f>
        <v>100</v>
      </c>
      <c r="F10" s="1318">
        <f t="shared" si="3"/>
        <v>100</v>
      </c>
      <c r="G10" s="1318">
        <f t="shared" si="3"/>
        <v>100</v>
      </c>
      <c r="H10" s="1318">
        <f t="shared" si="3"/>
        <v>100</v>
      </c>
      <c r="I10" s="1318">
        <f t="shared" si="3"/>
        <v>100</v>
      </c>
      <c r="J10" s="1318">
        <f t="shared" si="3"/>
        <v>100</v>
      </c>
      <c r="K10" s="1318">
        <f t="shared" si="3"/>
        <v>100</v>
      </c>
      <c r="L10" s="1318">
        <f t="shared" si="3"/>
        <v>100</v>
      </c>
      <c r="M10" s="1318">
        <f t="shared" si="3"/>
        <v>100</v>
      </c>
      <c r="N10" s="1318">
        <f t="shared" si="3"/>
        <v>100</v>
      </c>
      <c r="O10" s="1318">
        <f t="shared" si="3"/>
        <v>100</v>
      </c>
      <c r="P10" s="1318">
        <f t="shared" si="3"/>
        <v>100</v>
      </c>
      <c r="Q10" s="1318">
        <f t="shared" si="3"/>
        <v>100</v>
      </c>
      <c r="R10" s="1318">
        <f t="shared" si="3"/>
        <v>100</v>
      </c>
      <c r="S10" s="1318">
        <f t="shared" si="3"/>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4">D12-$T11</f>
        <v>100</v>
      </c>
      <c r="F12" s="894">
        <f t="shared" si="4"/>
        <v>100</v>
      </c>
      <c r="G12" s="894">
        <f t="shared" si="4"/>
        <v>100</v>
      </c>
      <c r="H12" s="894">
        <f t="shared" si="4"/>
        <v>100</v>
      </c>
      <c r="I12" s="894">
        <f t="shared" si="4"/>
        <v>100</v>
      </c>
      <c r="J12" s="894">
        <f t="shared" si="4"/>
        <v>100</v>
      </c>
      <c r="K12" s="894">
        <f t="shared" si="4"/>
        <v>100</v>
      </c>
      <c r="L12" s="894">
        <f t="shared" si="4"/>
        <v>100</v>
      </c>
      <c r="M12" s="894">
        <f t="shared" si="4"/>
        <v>100</v>
      </c>
      <c r="N12" s="894">
        <f t="shared" si="4"/>
        <v>100</v>
      </c>
      <c r="O12" s="894">
        <f t="shared" si="4"/>
        <v>100</v>
      </c>
      <c r="P12" s="894">
        <f t="shared" si="4"/>
        <v>100</v>
      </c>
      <c r="Q12" s="894">
        <f t="shared" si="4"/>
        <v>100</v>
      </c>
      <c r="R12" s="894">
        <f>Q12-$T11</f>
        <v>100</v>
      </c>
      <c r="S12" s="894">
        <f t="shared" si="4"/>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3539" t="s">
        <v>4215</v>
      </c>
      <c r="D17" s="3540" t="s">
        <v>4216</v>
      </c>
      <c r="E17" s="3540" t="s">
        <v>4217</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212237</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22951</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92474.529999999912</v>
      </c>
      <c r="C22" s="3891" t="s">
        <v>27</v>
      </c>
      <c r="D22" s="3892"/>
      <c r="E22" s="3892"/>
      <c r="F22" s="3892"/>
      <c r="G22" s="3892"/>
      <c r="H22" s="3892"/>
      <c r="I22" s="3892"/>
      <c r="J22" s="3892"/>
      <c r="K22" s="3892"/>
      <c r="L22" s="3892"/>
      <c r="M22" s="3892"/>
      <c r="N22" s="3892"/>
      <c r="O22" s="3892"/>
      <c r="P22" s="3892"/>
      <c r="Q22" s="3893"/>
      <c r="R22" s="659">
        <f ca="1">ROUND(S22*10000/B22,0)</f>
        <v>22951</v>
      </c>
      <c r="S22" s="21">
        <f ca="1">SUM(S24:S10000)</f>
        <v>212237</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'商办车库-新'!E280</f>
        <v>201</v>
      </c>
      <c r="B24" s="3476">
        <f>'商办车库-新'!F280</f>
        <v>1121.54</v>
      </c>
      <c r="C24" s="2794">
        <v>1</v>
      </c>
      <c r="D24" s="2795"/>
      <c r="E24" s="2794">
        <v>1</v>
      </c>
      <c r="F24" s="2795"/>
      <c r="G24" s="2794">
        <v>1</v>
      </c>
      <c r="H24" s="2795"/>
      <c r="I24" s="2794">
        <v>1</v>
      </c>
      <c r="J24" s="2795"/>
      <c r="K24" s="2794">
        <v>1</v>
      </c>
      <c r="L24" s="2795"/>
      <c r="M24" s="2794">
        <v>1</v>
      </c>
      <c r="N24" s="2795"/>
      <c r="O24" s="2794">
        <v>1</v>
      </c>
      <c r="P24" s="2795" t="s">
        <v>4206</v>
      </c>
      <c r="Q24" s="2794">
        <v>1</v>
      </c>
      <c r="R24" s="663">
        <f ca="1">结果表办!G20</f>
        <v>22388</v>
      </c>
      <c r="S24" s="661">
        <f t="shared" ref="S24:S87" ca="1" si="5">ROUND(R24*B24/10000,0)</f>
        <v>2511</v>
      </c>
      <c r="T24" s="725" t="str">
        <f>'商办车库-新'!H4</f>
        <v>办公</v>
      </c>
      <c r="U24" s="725" t="str">
        <f>'商办车库-新'!O20</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4206</v>
      </c>
      <c r="Q25" s="21">
        <f>(SUMIF($17:$17,P25,$18:$18)-SUMIF($17:$17,$P$24,$18:$18)+100)/100</f>
        <v>1</v>
      </c>
      <c r="R25" s="659">
        <f>IF(B25="",0,ROUND($R$24*C25*E25*G25*I25*K25*M25*O25*Q25,0))</f>
        <v>0</v>
      </c>
      <c r="S25" s="316">
        <f t="shared" si="5"/>
        <v>0</v>
      </c>
      <c r="T25" s="720" t="str">
        <f>'商办车库-新'!H5</f>
        <v>办公</v>
      </c>
    </row>
    <row r="26" spans="1:45">
      <c r="A26" s="2408"/>
      <c r="B26" s="2408"/>
      <c r="C26" s="21">
        <f t="shared" ref="C26:C89" si="6">IF(B26="",1,(LOOKUP(B26,$3:$3,$4:$4)-LOOKUP($B$24,$3:$3,$4:$4)+100)/100)</f>
        <v>1</v>
      </c>
      <c r="D26" s="662"/>
      <c r="E26" s="21">
        <f t="shared" ref="E26:E89" si="7">(SUMIF($5:$5,D26,$6:$6)-SUMIF($5:$5,$D$24,$6:$6)+100)/100</f>
        <v>1</v>
      </c>
      <c r="F26" s="662"/>
      <c r="G26" s="21">
        <f t="shared" ref="G26:G89" si="8">(SUMIF($7:$7,F26,$8:$8)-SUMIF($7:$7,$F$24,$8:$8)+100)/100</f>
        <v>1</v>
      </c>
      <c r="H26" s="662"/>
      <c r="I26" s="21">
        <f t="shared" ref="I26:I89" si="9">(SUMIF($9:$9,H26,$10:$10)-SUMIF($9:$9,$H$24,$10:$10)+100)/100</f>
        <v>1</v>
      </c>
      <c r="J26" s="662"/>
      <c r="K26" s="21">
        <f t="shared" ref="K26:K89" si="10">(SUMIF($11:$11,J26,$12:$12)-SUMIF($11:$11,$J$24,$12:$12)+100)/100</f>
        <v>1</v>
      </c>
      <c r="L26" s="662"/>
      <c r="M26" s="21">
        <f t="shared" ref="M26:M89" si="11">(SUMIF($13:$13,L26,$14:$14)-SUMIF($13:$13,$L$24,$14:$14)+100)/100</f>
        <v>1</v>
      </c>
      <c r="N26" s="662"/>
      <c r="O26" s="21">
        <f t="shared" ref="O26:O89" si="12">(SUMIF($15:$15,N26,$16:$16)-SUMIF($15:$15,$N$24,$16:$16)+100)/100</f>
        <v>1</v>
      </c>
      <c r="P26" s="2795" t="s">
        <v>4206</v>
      </c>
      <c r="Q26" s="21">
        <f t="shared" ref="Q26:Q89" si="13">(SUMIF($17:$17,P26,$18:$18)-SUMIF($17:$17,$P$24,$18:$18)+100)/100</f>
        <v>1</v>
      </c>
      <c r="R26" s="659">
        <f t="shared" ref="R26:R89" si="14">IF(B26="",0,ROUND($R$24*C26*E26*G26*I26*K26*M26*O26*Q26,0))</f>
        <v>0</v>
      </c>
      <c r="S26" s="316">
        <f t="shared" si="5"/>
        <v>0</v>
      </c>
      <c r="T26" s="720" t="str">
        <f>'商办车库-新'!H6</f>
        <v>办公</v>
      </c>
    </row>
    <row r="27" spans="1:45">
      <c r="A27" s="2408"/>
      <c r="B27" s="2408"/>
      <c r="C27" s="21">
        <f t="shared" si="6"/>
        <v>1</v>
      </c>
      <c r="D27" s="662"/>
      <c r="E27" s="21">
        <f t="shared" si="7"/>
        <v>1</v>
      </c>
      <c r="F27" s="662"/>
      <c r="G27" s="21">
        <f t="shared" si="8"/>
        <v>1</v>
      </c>
      <c r="H27" s="662"/>
      <c r="I27" s="21">
        <f t="shared" si="9"/>
        <v>1</v>
      </c>
      <c r="J27" s="662"/>
      <c r="K27" s="21">
        <f t="shared" si="10"/>
        <v>1</v>
      </c>
      <c r="L27" s="662"/>
      <c r="M27" s="21">
        <f t="shared" si="11"/>
        <v>1</v>
      </c>
      <c r="N27" s="662"/>
      <c r="O27" s="21">
        <f t="shared" si="12"/>
        <v>1</v>
      </c>
      <c r="P27" s="2795" t="s">
        <v>4206</v>
      </c>
      <c r="Q27" s="21">
        <f t="shared" si="13"/>
        <v>1</v>
      </c>
      <c r="R27" s="659">
        <f t="shared" si="14"/>
        <v>0</v>
      </c>
      <c r="S27" s="316">
        <f t="shared" si="5"/>
        <v>0</v>
      </c>
      <c r="T27" s="720" t="str">
        <f>'商办车库-新'!H7</f>
        <v>办公</v>
      </c>
    </row>
    <row r="28" spans="1:45">
      <c r="A28" s="2408"/>
      <c r="B28" s="2408"/>
      <c r="C28" s="21">
        <f t="shared" si="6"/>
        <v>1</v>
      </c>
      <c r="D28" s="662"/>
      <c r="E28" s="21">
        <f t="shared" si="7"/>
        <v>1</v>
      </c>
      <c r="F28" s="662"/>
      <c r="G28" s="21">
        <f t="shared" si="8"/>
        <v>1</v>
      </c>
      <c r="H28" s="662"/>
      <c r="I28" s="21">
        <f t="shared" si="9"/>
        <v>1</v>
      </c>
      <c r="J28" s="662"/>
      <c r="K28" s="21">
        <f t="shared" si="10"/>
        <v>1</v>
      </c>
      <c r="L28" s="662"/>
      <c r="M28" s="21">
        <f t="shared" si="11"/>
        <v>1</v>
      </c>
      <c r="N28" s="662"/>
      <c r="O28" s="21">
        <f t="shared" si="12"/>
        <v>1</v>
      </c>
      <c r="P28" s="2795" t="s">
        <v>4206</v>
      </c>
      <c r="Q28" s="21">
        <f t="shared" si="13"/>
        <v>1</v>
      </c>
      <c r="R28" s="659">
        <f t="shared" si="14"/>
        <v>0</v>
      </c>
      <c r="S28" s="316">
        <f t="shared" si="5"/>
        <v>0</v>
      </c>
    </row>
    <row r="29" spans="1:45">
      <c r="A29" s="3541" t="str">
        <f>'商办车库-新'!E14</f>
        <v>1单元201</v>
      </c>
      <c r="B29" s="2408">
        <f>'商办车库-新'!F14</f>
        <v>678.59</v>
      </c>
      <c r="C29" s="21">
        <f t="shared" si="6"/>
        <v>1.01</v>
      </c>
      <c r="D29" s="662"/>
      <c r="E29" s="21">
        <f t="shared" si="7"/>
        <v>1</v>
      </c>
      <c r="F29" s="662"/>
      <c r="G29" s="21">
        <f t="shared" si="8"/>
        <v>1</v>
      </c>
      <c r="H29" s="662"/>
      <c r="I29" s="21">
        <f t="shared" si="9"/>
        <v>1</v>
      </c>
      <c r="J29" s="662"/>
      <c r="K29" s="21">
        <f t="shared" si="10"/>
        <v>1</v>
      </c>
      <c r="L29" s="662"/>
      <c r="M29" s="21">
        <f t="shared" si="11"/>
        <v>1</v>
      </c>
      <c r="N29" s="662"/>
      <c r="O29" s="21">
        <f t="shared" si="12"/>
        <v>1</v>
      </c>
      <c r="P29" s="2795" t="s">
        <v>4206</v>
      </c>
      <c r="Q29" s="21">
        <f t="shared" si="13"/>
        <v>1</v>
      </c>
      <c r="R29" s="659">
        <f t="shared" ca="1" si="14"/>
        <v>22612</v>
      </c>
      <c r="S29" s="316">
        <f t="shared" ca="1" si="5"/>
        <v>1534</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6"/>
        <v>1.01</v>
      </c>
      <c r="D30" s="662"/>
      <c r="E30" s="21">
        <f t="shared" si="7"/>
        <v>1</v>
      </c>
      <c r="F30" s="662"/>
      <c r="G30" s="21">
        <f t="shared" si="8"/>
        <v>1</v>
      </c>
      <c r="H30" s="662"/>
      <c r="I30" s="21">
        <f t="shared" si="9"/>
        <v>1</v>
      </c>
      <c r="J30" s="662"/>
      <c r="K30" s="21">
        <f t="shared" si="10"/>
        <v>1</v>
      </c>
      <c r="L30" s="662"/>
      <c r="M30" s="21">
        <f t="shared" si="11"/>
        <v>1</v>
      </c>
      <c r="N30" s="662"/>
      <c r="O30" s="21">
        <f t="shared" si="12"/>
        <v>1</v>
      </c>
      <c r="P30" s="2795" t="s">
        <v>4206</v>
      </c>
      <c r="Q30" s="21">
        <f t="shared" si="13"/>
        <v>1</v>
      </c>
      <c r="R30" s="659">
        <f t="shared" ca="1" si="14"/>
        <v>22612</v>
      </c>
      <c r="S30" s="316">
        <f t="shared" ca="1" si="5"/>
        <v>1534</v>
      </c>
      <c r="T30" s="720" t="str">
        <f>'商办车库-新'!H15</f>
        <v>办公</v>
      </c>
    </row>
    <row r="31" spans="1:45">
      <c r="A31" s="3541" t="str">
        <f>'商办车库-新'!E16</f>
        <v>1单元401</v>
      </c>
      <c r="B31" s="2408">
        <f>'商办车库-新'!F16</f>
        <v>725.7</v>
      </c>
      <c r="C31" s="21">
        <f t="shared" si="6"/>
        <v>1.01</v>
      </c>
      <c r="D31" s="662"/>
      <c r="E31" s="21">
        <f t="shared" si="7"/>
        <v>1</v>
      </c>
      <c r="F31" s="662"/>
      <c r="G31" s="21">
        <f t="shared" si="8"/>
        <v>1</v>
      </c>
      <c r="H31" s="662"/>
      <c r="I31" s="21">
        <f t="shared" si="9"/>
        <v>1</v>
      </c>
      <c r="J31" s="662"/>
      <c r="K31" s="21">
        <f t="shared" si="10"/>
        <v>1</v>
      </c>
      <c r="L31" s="662"/>
      <c r="M31" s="21">
        <f t="shared" si="11"/>
        <v>1</v>
      </c>
      <c r="N31" s="662"/>
      <c r="O31" s="21">
        <f t="shared" si="12"/>
        <v>1</v>
      </c>
      <c r="P31" s="2795" t="s">
        <v>4206</v>
      </c>
      <c r="Q31" s="21">
        <f t="shared" si="13"/>
        <v>1</v>
      </c>
      <c r="R31" s="659">
        <f t="shared" ca="1" si="14"/>
        <v>22612</v>
      </c>
      <c r="S31" s="316">
        <f t="shared" ca="1" si="5"/>
        <v>1641</v>
      </c>
      <c r="T31" s="720" t="str">
        <f>'商办车库-新'!H16</f>
        <v>办公</v>
      </c>
    </row>
    <row r="32" spans="1:45">
      <c r="A32" s="3541" t="str">
        <f>'商办车库-新'!E17</f>
        <v>1单元501</v>
      </c>
      <c r="B32" s="2408">
        <f>'商办车库-新'!F17</f>
        <v>725.7</v>
      </c>
      <c r="C32" s="21">
        <f t="shared" si="6"/>
        <v>1.01</v>
      </c>
      <c r="D32" s="662"/>
      <c r="E32" s="21">
        <f t="shared" si="7"/>
        <v>1</v>
      </c>
      <c r="F32" s="662"/>
      <c r="G32" s="21">
        <f t="shared" si="8"/>
        <v>1</v>
      </c>
      <c r="H32" s="662"/>
      <c r="I32" s="21">
        <f t="shared" si="9"/>
        <v>1</v>
      </c>
      <c r="J32" s="662"/>
      <c r="K32" s="21">
        <f t="shared" si="10"/>
        <v>1</v>
      </c>
      <c r="L32" s="662"/>
      <c r="M32" s="21">
        <f t="shared" si="11"/>
        <v>1</v>
      </c>
      <c r="N32" s="662"/>
      <c r="O32" s="21">
        <f t="shared" si="12"/>
        <v>1</v>
      </c>
      <c r="P32" s="2795" t="s">
        <v>4206</v>
      </c>
      <c r="Q32" s="21">
        <f t="shared" si="13"/>
        <v>1</v>
      </c>
      <c r="R32" s="659">
        <f t="shared" ca="1" si="14"/>
        <v>22612</v>
      </c>
      <c r="S32" s="316">
        <f t="shared" ca="1" si="5"/>
        <v>1641</v>
      </c>
      <c r="T32" s="720" t="str">
        <f>'商办车库-新'!H17</f>
        <v>办公</v>
      </c>
    </row>
    <row r="33" spans="1:20">
      <c r="A33" s="3541" t="str">
        <f>'商办车库-新'!E18</f>
        <v>1单元601</v>
      </c>
      <c r="B33" s="2408">
        <f>'商办车库-新'!F18</f>
        <v>725.7</v>
      </c>
      <c r="C33" s="21">
        <f t="shared" si="6"/>
        <v>1.01</v>
      </c>
      <c r="D33" s="662"/>
      <c r="E33" s="21">
        <f t="shared" si="7"/>
        <v>1</v>
      </c>
      <c r="F33" s="662"/>
      <c r="G33" s="21">
        <f t="shared" si="8"/>
        <v>1</v>
      </c>
      <c r="H33" s="662"/>
      <c r="I33" s="21">
        <f t="shared" si="9"/>
        <v>1</v>
      </c>
      <c r="J33" s="662"/>
      <c r="K33" s="21">
        <f t="shared" si="10"/>
        <v>1</v>
      </c>
      <c r="L33" s="662"/>
      <c r="M33" s="21">
        <f t="shared" si="11"/>
        <v>1</v>
      </c>
      <c r="N33" s="662"/>
      <c r="O33" s="21">
        <f t="shared" si="12"/>
        <v>1</v>
      </c>
      <c r="P33" s="2795" t="s">
        <v>4206</v>
      </c>
      <c r="Q33" s="21">
        <f t="shared" si="13"/>
        <v>1</v>
      </c>
      <c r="R33" s="659">
        <f t="shared" ca="1" si="14"/>
        <v>22612</v>
      </c>
      <c r="S33" s="316">
        <f t="shared" ca="1" si="5"/>
        <v>1641</v>
      </c>
      <c r="T33" s="720" t="str">
        <f>'商办车库-新'!H18</f>
        <v>办公</v>
      </c>
    </row>
    <row r="34" spans="1:20">
      <c r="A34" s="3541" t="str">
        <f>'商办车库-新'!E19</f>
        <v>1单元701</v>
      </c>
      <c r="B34" s="2408">
        <f>'商办车库-新'!F19</f>
        <v>725.7</v>
      </c>
      <c r="C34" s="21">
        <f t="shared" si="6"/>
        <v>1.01</v>
      </c>
      <c r="D34" s="662"/>
      <c r="E34" s="21">
        <f t="shared" si="7"/>
        <v>1</v>
      </c>
      <c r="F34" s="662"/>
      <c r="G34" s="21">
        <f t="shared" si="8"/>
        <v>1</v>
      </c>
      <c r="H34" s="662"/>
      <c r="I34" s="21">
        <f t="shared" si="9"/>
        <v>1</v>
      </c>
      <c r="J34" s="662"/>
      <c r="K34" s="21">
        <f t="shared" si="10"/>
        <v>1</v>
      </c>
      <c r="L34" s="662"/>
      <c r="M34" s="21">
        <f t="shared" si="11"/>
        <v>1</v>
      </c>
      <c r="N34" s="662"/>
      <c r="O34" s="21">
        <f t="shared" si="12"/>
        <v>1</v>
      </c>
      <c r="P34" s="662" t="s">
        <v>4204</v>
      </c>
      <c r="Q34" s="21">
        <f t="shared" si="13"/>
        <v>1.03</v>
      </c>
      <c r="R34" s="659">
        <f t="shared" ca="1" si="14"/>
        <v>23290</v>
      </c>
      <c r="S34" s="316">
        <f t="shared" ca="1" si="5"/>
        <v>1690</v>
      </c>
      <c r="T34" s="720" t="str">
        <f>'商办车库-新'!H19</f>
        <v>办公</v>
      </c>
    </row>
    <row r="35" spans="1:20">
      <c r="A35" s="3541" t="str">
        <f>'商办车库-新'!E20</f>
        <v>1单元801</v>
      </c>
      <c r="B35" s="2408">
        <f>'商办车库-新'!F20</f>
        <v>725.7</v>
      </c>
      <c r="C35" s="21">
        <f t="shared" si="6"/>
        <v>1.01</v>
      </c>
      <c r="D35" s="662"/>
      <c r="E35" s="21">
        <f t="shared" si="7"/>
        <v>1</v>
      </c>
      <c r="F35" s="662"/>
      <c r="G35" s="21">
        <f t="shared" si="8"/>
        <v>1</v>
      </c>
      <c r="H35" s="662"/>
      <c r="I35" s="21">
        <f t="shared" si="9"/>
        <v>1</v>
      </c>
      <c r="J35" s="662"/>
      <c r="K35" s="21">
        <f t="shared" si="10"/>
        <v>1</v>
      </c>
      <c r="L35" s="662"/>
      <c r="M35" s="21">
        <f t="shared" si="11"/>
        <v>1</v>
      </c>
      <c r="N35" s="662"/>
      <c r="O35" s="21">
        <f t="shared" si="12"/>
        <v>1</v>
      </c>
      <c r="P35" s="662" t="s">
        <v>4204</v>
      </c>
      <c r="Q35" s="21">
        <f t="shared" si="13"/>
        <v>1.03</v>
      </c>
      <c r="R35" s="659">
        <f t="shared" ca="1" si="14"/>
        <v>23290</v>
      </c>
      <c r="S35" s="316">
        <f t="shared" ca="1" si="5"/>
        <v>1690</v>
      </c>
      <c r="T35" s="720" t="str">
        <f>'商办车库-新'!H20</f>
        <v>办公</v>
      </c>
    </row>
    <row r="36" spans="1:20">
      <c r="A36" s="3541" t="str">
        <f>'商办车库-新'!E21</f>
        <v>2单元302</v>
      </c>
      <c r="B36" s="2408">
        <f>'商办车库-新'!F21</f>
        <v>897.24</v>
      </c>
      <c r="C36" s="21">
        <f t="shared" si="6"/>
        <v>1.01</v>
      </c>
      <c r="D36" s="662"/>
      <c r="E36" s="21">
        <f t="shared" si="7"/>
        <v>1</v>
      </c>
      <c r="F36" s="662"/>
      <c r="G36" s="21">
        <f t="shared" si="8"/>
        <v>1</v>
      </c>
      <c r="H36" s="662"/>
      <c r="I36" s="21">
        <f t="shared" si="9"/>
        <v>1</v>
      </c>
      <c r="J36" s="662"/>
      <c r="K36" s="21">
        <f t="shared" si="10"/>
        <v>1</v>
      </c>
      <c r="L36" s="662"/>
      <c r="M36" s="21">
        <f t="shared" si="11"/>
        <v>1</v>
      </c>
      <c r="N36" s="662"/>
      <c r="O36" s="21">
        <f t="shared" si="12"/>
        <v>1</v>
      </c>
      <c r="P36" s="2795" t="s">
        <v>4206</v>
      </c>
      <c r="Q36" s="21">
        <f t="shared" si="13"/>
        <v>1</v>
      </c>
      <c r="R36" s="659">
        <f t="shared" ca="1" si="14"/>
        <v>22612</v>
      </c>
      <c r="S36" s="316">
        <f t="shared" ca="1" si="5"/>
        <v>2029</v>
      </c>
      <c r="T36" s="720" t="str">
        <f>'商办车库-新'!H21</f>
        <v>办公</v>
      </c>
    </row>
    <row r="37" spans="1:20">
      <c r="A37" s="3541" t="str">
        <f>'商办车库-新'!E22</f>
        <v>2单元402</v>
      </c>
      <c r="B37" s="2408">
        <f>'商办车库-新'!F22</f>
        <v>922.92</v>
      </c>
      <c r="C37" s="21">
        <f t="shared" si="6"/>
        <v>1.01</v>
      </c>
      <c r="D37" s="662"/>
      <c r="E37" s="21">
        <f t="shared" si="7"/>
        <v>1</v>
      </c>
      <c r="F37" s="662"/>
      <c r="G37" s="21">
        <f t="shared" si="8"/>
        <v>1</v>
      </c>
      <c r="H37" s="662"/>
      <c r="I37" s="21">
        <f t="shared" si="9"/>
        <v>1</v>
      </c>
      <c r="J37" s="662"/>
      <c r="K37" s="21">
        <f t="shared" si="10"/>
        <v>1</v>
      </c>
      <c r="L37" s="662"/>
      <c r="M37" s="21">
        <f t="shared" si="11"/>
        <v>1</v>
      </c>
      <c r="N37" s="662"/>
      <c r="O37" s="21">
        <f t="shared" si="12"/>
        <v>1</v>
      </c>
      <c r="P37" s="2795" t="s">
        <v>4206</v>
      </c>
      <c r="Q37" s="21">
        <f t="shared" si="13"/>
        <v>1</v>
      </c>
      <c r="R37" s="659">
        <f t="shared" ca="1" si="14"/>
        <v>22612</v>
      </c>
      <c r="S37" s="316">
        <f t="shared" ca="1" si="5"/>
        <v>2087</v>
      </c>
      <c r="T37" s="720" t="str">
        <f>'商办车库-新'!H22</f>
        <v>办公</v>
      </c>
    </row>
    <row r="38" spans="1:20">
      <c r="A38" s="3541" t="str">
        <f>'商办车库-新'!E23</f>
        <v>2单元502</v>
      </c>
      <c r="B38" s="2408">
        <f>'商办车库-新'!F23</f>
        <v>922.92</v>
      </c>
      <c r="C38" s="21">
        <f t="shared" si="6"/>
        <v>1.01</v>
      </c>
      <c r="D38" s="662"/>
      <c r="E38" s="21">
        <f t="shared" si="7"/>
        <v>1</v>
      </c>
      <c r="F38" s="662"/>
      <c r="G38" s="21">
        <f t="shared" si="8"/>
        <v>1</v>
      </c>
      <c r="H38" s="662"/>
      <c r="I38" s="21">
        <f t="shared" si="9"/>
        <v>1</v>
      </c>
      <c r="J38" s="662"/>
      <c r="K38" s="21">
        <f t="shared" si="10"/>
        <v>1</v>
      </c>
      <c r="L38" s="662"/>
      <c r="M38" s="21">
        <f t="shared" si="11"/>
        <v>1</v>
      </c>
      <c r="N38" s="662"/>
      <c r="O38" s="21">
        <f t="shared" si="12"/>
        <v>1</v>
      </c>
      <c r="P38" s="2795" t="s">
        <v>4206</v>
      </c>
      <c r="Q38" s="21">
        <f t="shared" si="13"/>
        <v>1</v>
      </c>
      <c r="R38" s="659">
        <f t="shared" ca="1" si="14"/>
        <v>22612</v>
      </c>
      <c r="S38" s="316">
        <f t="shared" ca="1" si="5"/>
        <v>2087</v>
      </c>
      <c r="T38" s="720" t="str">
        <f>'商办车库-新'!H23</f>
        <v>办公</v>
      </c>
    </row>
    <row r="39" spans="1:20">
      <c r="A39" s="3541" t="str">
        <f>'商办车库-新'!E24</f>
        <v>2单元602</v>
      </c>
      <c r="B39" s="2408">
        <f>'商办车库-新'!F24</f>
        <v>922.92</v>
      </c>
      <c r="C39" s="21">
        <f t="shared" si="6"/>
        <v>1.01</v>
      </c>
      <c r="D39" s="662"/>
      <c r="E39" s="21">
        <f t="shared" si="7"/>
        <v>1</v>
      </c>
      <c r="F39" s="662"/>
      <c r="G39" s="21">
        <f t="shared" si="8"/>
        <v>1</v>
      </c>
      <c r="H39" s="662"/>
      <c r="I39" s="21">
        <f t="shared" si="9"/>
        <v>1</v>
      </c>
      <c r="J39" s="662"/>
      <c r="K39" s="21">
        <f t="shared" si="10"/>
        <v>1</v>
      </c>
      <c r="L39" s="662"/>
      <c r="M39" s="21">
        <f t="shared" si="11"/>
        <v>1</v>
      </c>
      <c r="N39" s="662"/>
      <c r="O39" s="21">
        <f t="shared" si="12"/>
        <v>1</v>
      </c>
      <c r="P39" s="2795" t="s">
        <v>4206</v>
      </c>
      <c r="Q39" s="21">
        <f t="shared" si="13"/>
        <v>1</v>
      </c>
      <c r="R39" s="659">
        <f t="shared" ca="1" si="14"/>
        <v>22612</v>
      </c>
      <c r="S39" s="316">
        <f t="shared" ca="1" si="5"/>
        <v>2087</v>
      </c>
      <c r="T39" s="720" t="str">
        <f>'商办车库-新'!H24</f>
        <v>办公</v>
      </c>
    </row>
    <row r="40" spans="1:20">
      <c r="A40" s="3541" t="str">
        <f>'商办车库-新'!E25</f>
        <v>2单元702</v>
      </c>
      <c r="B40" s="2408">
        <f>'商办车库-新'!F25</f>
        <v>922.92</v>
      </c>
      <c r="C40" s="21">
        <f t="shared" si="6"/>
        <v>1.01</v>
      </c>
      <c r="D40" s="662"/>
      <c r="E40" s="21">
        <f t="shared" si="7"/>
        <v>1</v>
      </c>
      <c r="F40" s="662"/>
      <c r="G40" s="21">
        <f t="shared" si="8"/>
        <v>1</v>
      </c>
      <c r="H40" s="662"/>
      <c r="I40" s="21">
        <f t="shared" si="9"/>
        <v>1</v>
      </c>
      <c r="J40" s="662"/>
      <c r="K40" s="21">
        <f t="shared" si="10"/>
        <v>1</v>
      </c>
      <c r="L40" s="662"/>
      <c r="M40" s="21">
        <f t="shared" si="11"/>
        <v>1</v>
      </c>
      <c r="N40" s="662"/>
      <c r="O40" s="21">
        <f t="shared" si="12"/>
        <v>1</v>
      </c>
      <c r="P40" s="662" t="s">
        <v>4204</v>
      </c>
      <c r="Q40" s="21">
        <f t="shared" si="13"/>
        <v>1.03</v>
      </c>
      <c r="R40" s="659">
        <f t="shared" ca="1" si="14"/>
        <v>23290</v>
      </c>
      <c r="S40" s="316">
        <f t="shared" ca="1" si="5"/>
        <v>2149</v>
      </c>
      <c r="T40" s="720" t="str">
        <f>'商办车库-新'!H25</f>
        <v>办公</v>
      </c>
    </row>
    <row r="41" spans="1:20">
      <c r="A41" s="3541" t="str">
        <f>'商办车库-新'!E26</f>
        <v>2单元802</v>
      </c>
      <c r="B41" s="2408">
        <f>'商办车库-新'!F26</f>
        <v>922.92</v>
      </c>
      <c r="C41" s="21">
        <f t="shared" si="6"/>
        <v>1.01</v>
      </c>
      <c r="D41" s="662"/>
      <c r="E41" s="21">
        <f t="shared" si="7"/>
        <v>1</v>
      </c>
      <c r="F41" s="662"/>
      <c r="G41" s="21">
        <f t="shared" si="8"/>
        <v>1</v>
      </c>
      <c r="H41" s="662"/>
      <c r="I41" s="21">
        <f t="shared" si="9"/>
        <v>1</v>
      </c>
      <c r="J41" s="662"/>
      <c r="K41" s="21">
        <f t="shared" si="10"/>
        <v>1</v>
      </c>
      <c r="L41" s="662"/>
      <c r="M41" s="21">
        <f t="shared" si="11"/>
        <v>1</v>
      </c>
      <c r="N41" s="662"/>
      <c r="O41" s="21">
        <f t="shared" si="12"/>
        <v>1</v>
      </c>
      <c r="P41" s="662" t="s">
        <v>4204</v>
      </c>
      <c r="Q41" s="21">
        <f t="shared" si="13"/>
        <v>1.03</v>
      </c>
      <c r="R41" s="659">
        <f t="shared" ca="1" si="14"/>
        <v>23290</v>
      </c>
      <c r="S41" s="316">
        <f t="shared" ca="1" si="5"/>
        <v>2149</v>
      </c>
      <c r="T41" s="720" t="str">
        <f>'商办车库-新'!H26</f>
        <v>办公</v>
      </c>
    </row>
    <row r="42" spans="1:20">
      <c r="A42" s="3541" t="str">
        <f>'商办车库-新'!E27</f>
        <v>2单元902</v>
      </c>
      <c r="B42" s="2408">
        <f>'商办车库-新'!F27</f>
        <v>922.92</v>
      </c>
      <c r="C42" s="21">
        <f t="shared" si="6"/>
        <v>1.01</v>
      </c>
      <c r="D42" s="662"/>
      <c r="E42" s="21">
        <f t="shared" si="7"/>
        <v>1</v>
      </c>
      <c r="F42" s="662"/>
      <c r="G42" s="21">
        <f t="shared" si="8"/>
        <v>1</v>
      </c>
      <c r="H42" s="662"/>
      <c r="I42" s="21">
        <f t="shared" si="9"/>
        <v>1</v>
      </c>
      <c r="J42" s="662"/>
      <c r="K42" s="21">
        <f t="shared" si="10"/>
        <v>1</v>
      </c>
      <c r="L42" s="662"/>
      <c r="M42" s="21">
        <f t="shared" si="11"/>
        <v>1</v>
      </c>
      <c r="N42" s="662"/>
      <c r="O42" s="21">
        <f t="shared" si="12"/>
        <v>1</v>
      </c>
      <c r="P42" s="662" t="s">
        <v>4204</v>
      </c>
      <c r="Q42" s="21">
        <f t="shared" si="13"/>
        <v>1.03</v>
      </c>
      <c r="R42" s="659">
        <f t="shared" ca="1" si="14"/>
        <v>23290</v>
      </c>
      <c r="S42" s="316">
        <f t="shared" ca="1" si="5"/>
        <v>2149</v>
      </c>
      <c r="T42" s="720" t="str">
        <f>'商办车库-新'!H27</f>
        <v>办公</v>
      </c>
    </row>
    <row r="43" spans="1:20">
      <c r="A43" s="3541" t="str">
        <f>'商办车库-新'!E28</f>
        <v>2单元1002</v>
      </c>
      <c r="B43" s="2408">
        <f>'商办车库-新'!F28</f>
        <v>922.92</v>
      </c>
      <c r="C43" s="21">
        <f t="shared" si="6"/>
        <v>1.01</v>
      </c>
      <c r="D43" s="662"/>
      <c r="E43" s="21">
        <f t="shared" si="7"/>
        <v>1</v>
      </c>
      <c r="F43" s="662"/>
      <c r="G43" s="21">
        <f t="shared" si="8"/>
        <v>1</v>
      </c>
      <c r="H43" s="662"/>
      <c r="I43" s="21">
        <f t="shared" si="9"/>
        <v>1</v>
      </c>
      <c r="J43" s="662"/>
      <c r="K43" s="21">
        <f t="shared" si="10"/>
        <v>1</v>
      </c>
      <c r="L43" s="662"/>
      <c r="M43" s="21">
        <f t="shared" si="11"/>
        <v>1</v>
      </c>
      <c r="N43" s="662"/>
      <c r="O43" s="21">
        <f t="shared" si="12"/>
        <v>1</v>
      </c>
      <c r="P43" s="662" t="s">
        <v>4204</v>
      </c>
      <c r="Q43" s="21">
        <f t="shared" si="13"/>
        <v>1.03</v>
      </c>
      <c r="R43" s="659">
        <f t="shared" ca="1" si="14"/>
        <v>23290</v>
      </c>
      <c r="S43" s="316">
        <f t="shared" ca="1" si="5"/>
        <v>2149</v>
      </c>
      <c r="T43" s="720" t="str">
        <f>'商办车库-新'!H28</f>
        <v>办公</v>
      </c>
    </row>
    <row r="44" spans="1:20">
      <c r="A44" s="3541" t="str">
        <f>'商办车库-新'!E29</f>
        <v>2单元1102</v>
      </c>
      <c r="B44" s="2408">
        <f>'商办车库-新'!F29</f>
        <v>922.92</v>
      </c>
      <c r="C44" s="21">
        <f t="shared" si="6"/>
        <v>1.01</v>
      </c>
      <c r="D44" s="662"/>
      <c r="E44" s="21">
        <f t="shared" si="7"/>
        <v>1</v>
      </c>
      <c r="F44" s="662"/>
      <c r="G44" s="21">
        <f t="shared" si="8"/>
        <v>1</v>
      </c>
      <c r="H44" s="662"/>
      <c r="I44" s="21">
        <f t="shared" si="9"/>
        <v>1</v>
      </c>
      <c r="J44" s="662"/>
      <c r="K44" s="21">
        <f t="shared" si="10"/>
        <v>1</v>
      </c>
      <c r="L44" s="662"/>
      <c r="M44" s="21">
        <f t="shared" si="11"/>
        <v>1</v>
      </c>
      <c r="N44" s="662"/>
      <c r="O44" s="21">
        <f t="shared" si="12"/>
        <v>1</v>
      </c>
      <c r="P44" s="662" t="s">
        <v>4204</v>
      </c>
      <c r="Q44" s="21">
        <f t="shared" si="13"/>
        <v>1.03</v>
      </c>
      <c r="R44" s="659">
        <f t="shared" ca="1" si="14"/>
        <v>23290</v>
      </c>
      <c r="S44" s="316">
        <f t="shared" ca="1" si="5"/>
        <v>2149</v>
      </c>
      <c r="T44" s="720" t="str">
        <f>'商办车库-新'!H29</f>
        <v>办公</v>
      </c>
    </row>
    <row r="45" spans="1:20">
      <c r="A45" s="3541" t="str">
        <f>'商办车库-新'!E30</f>
        <v>2单元1202</v>
      </c>
      <c r="B45" s="2408">
        <f>'商办车库-新'!F30</f>
        <v>922.92</v>
      </c>
      <c r="C45" s="21">
        <f t="shared" si="6"/>
        <v>1.01</v>
      </c>
      <c r="D45" s="662"/>
      <c r="E45" s="21">
        <f t="shared" si="7"/>
        <v>1</v>
      </c>
      <c r="F45" s="662"/>
      <c r="G45" s="21">
        <f t="shared" si="8"/>
        <v>1</v>
      </c>
      <c r="H45" s="662"/>
      <c r="I45" s="21">
        <f t="shared" si="9"/>
        <v>1</v>
      </c>
      <c r="J45" s="662"/>
      <c r="K45" s="21">
        <f t="shared" si="10"/>
        <v>1</v>
      </c>
      <c r="L45" s="662"/>
      <c r="M45" s="21">
        <f t="shared" si="11"/>
        <v>1</v>
      </c>
      <c r="N45" s="662"/>
      <c r="O45" s="21">
        <f t="shared" si="12"/>
        <v>1</v>
      </c>
      <c r="P45" s="662" t="s">
        <v>4202</v>
      </c>
      <c r="Q45" s="21">
        <f t="shared" si="13"/>
        <v>1.06</v>
      </c>
      <c r="R45" s="659">
        <f t="shared" ca="1" si="14"/>
        <v>23969</v>
      </c>
      <c r="S45" s="316">
        <f t="shared" ca="1" si="5"/>
        <v>2212</v>
      </c>
      <c r="T45" s="720" t="str">
        <f>'商办车库-新'!H30</f>
        <v>办公</v>
      </c>
    </row>
    <row r="46" spans="1:20">
      <c r="A46" s="3541" t="str">
        <f>'商办车库-新'!E31</f>
        <v>2单元1302</v>
      </c>
      <c r="B46" s="2408">
        <f>'商办车库-新'!F31</f>
        <v>922.92</v>
      </c>
      <c r="C46" s="21">
        <f t="shared" si="6"/>
        <v>1.01</v>
      </c>
      <c r="D46" s="662"/>
      <c r="E46" s="21">
        <f t="shared" si="7"/>
        <v>1</v>
      </c>
      <c r="F46" s="662"/>
      <c r="G46" s="21">
        <f t="shared" si="8"/>
        <v>1</v>
      </c>
      <c r="H46" s="662"/>
      <c r="I46" s="21">
        <f t="shared" si="9"/>
        <v>1</v>
      </c>
      <c r="J46" s="662"/>
      <c r="K46" s="21">
        <f t="shared" si="10"/>
        <v>1</v>
      </c>
      <c r="L46" s="662"/>
      <c r="M46" s="21">
        <f t="shared" si="11"/>
        <v>1</v>
      </c>
      <c r="N46" s="662"/>
      <c r="O46" s="21">
        <f t="shared" si="12"/>
        <v>1</v>
      </c>
      <c r="P46" s="662" t="s">
        <v>4202</v>
      </c>
      <c r="Q46" s="21">
        <f t="shared" si="13"/>
        <v>1.06</v>
      </c>
      <c r="R46" s="659">
        <f t="shared" ca="1" si="14"/>
        <v>23969</v>
      </c>
      <c r="S46" s="316">
        <f t="shared" ca="1" si="5"/>
        <v>2212</v>
      </c>
      <c r="T46" s="720" t="str">
        <f>'商办车库-新'!H31</f>
        <v>办公</v>
      </c>
    </row>
    <row r="47" spans="1:20">
      <c r="A47" s="3541" t="str">
        <f>'商办车库-新'!E32</f>
        <v>2单元1402</v>
      </c>
      <c r="B47" s="2408">
        <f>'商办车库-新'!F32</f>
        <v>922.92</v>
      </c>
      <c r="C47" s="21">
        <f t="shared" si="6"/>
        <v>1.01</v>
      </c>
      <c r="D47" s="662"/>
      <c r="E47" s="21">
        <f t="shared" si="7"/>
        <v>1</v>
      </c>
      <c r="F47" s="662"/>
      <c r="G47" s="21">
        <f t="shared" si="8"/>
        <v>1</v>
      </c>
      <c r="H47" s="662"/>
      <c r="I47" s="21">
        <f t="shared" si="9"/>
        <v>1</v>
      </c>
      <c r="J47" s="662"/>
      <c r="K47" s="21">
        <f t="shared" si="10"/>
        <v>1</v>
      </c>
      <c r="L47" s="662"/>
      <c r="M47" s="21">
        <f t="shared" si="11"/>
        <v>1</v>
      </c>
      <c r="N47" s="662"/>
      <c r="O47" s="21">
        <f t="shared" si="12"/>
        <v>1</v>
      </c>
      <c r="P47" s="662" t="s">
        <v>4202</v>
      </c>
      <c r="Q47" s="21">
        <f t="shared" si="13"/>
        <v>1.06</v>
      </c>
      <c r="R47" s="659">
        <f t="shared" ca="1" si="14"/>
        <v>23969</v>
      </c>
      <c r="S47" s="316">
        <f t="shared" ca="1" si="5"/>
        <v>2212</v>
      </c>
      <c r="T47" s="720" t="str">
        <f>'商办车库-新'!H32</f>
        <v>办公</v>
      </c>
    </row>
    <row r="48" spans="1:20">
      <c r="A48" s="3542" t="s">
        <v>4197</v>
      </c>
      <c r="B48" s="2408"/>
      <c r="C48" s="21">
        <f t="shared" si="6"/>
        <v>1</v>
      </c>
      <c r="D48" s="662"/>
      <c r="E48" s="21">
        <f t="shared" si="7"/>
        <v>1</v>
      </c>
      <c r="F48" s="662"/>
      <c r="G48" s="21">
        <f t="shared" si="8"/>
        <v>1</v>
      </c>
      <c r="H48" s="662"/>
      <c r="I48" s="21">
        <f t="shared" si="9"/>
        <v>1</v>
      </c>
      <c r="J48" s="662"/>
      <c r="K48" s="21">
        <f t="shared" si="10"/>
        <v>1</v>
      </c>
      <c r="L48" s="662"/>
      <c r="M48" s="21">
        <f t="shared" si="11"/>
        <v>1</v>
      </c>
      <c r="N48" s="662"/>
      <c r="O48" s="21">
        <f t="shared" si="12"/>
        <v>1</v>
      </c>
      <c r="P48" s="2795"/>
      <c r="Q48" s="21">
        <f t="shared" si="13"/>
        <v>0.06</v>
      </c>
      <c r="R48" s="659">
        <f t="shared" si="14"/>
        <v>0</v>
      </c>
      <c r="S48" s="316">
        <f t="shared" si="5"/>
        <v>0</v>
      </c>
    </row>
    <row r="49" spans="1:21">
      <c r="A49" s="3541">
        <v>301</v>
      </c>
      <c r="B49" s="2408">
        <f>'商办车库-新'!F223</f>
        <v>1349.46</v>
      </c>
      <c r="C49" s="21">
        <f t="shared" si="6"/>
        <v>1</v>
      </c>
      <c r="D49" s="662"/>
      <c r="E49" s="21">
        <f t="shared" si="7"/>
        <v>1</v>
      </c>
      <c r="F49" s="662"/>
      <c r="G49" s="21">
        <f t="shared" si="8"/>
        <v>1</v>
      </c>
      <c r="H49" s="662"/>
      <c r="I49" s="21">
        <f t="shared" si="9"/>
        <v>1</v>
      </c>
      <c r="J49" s="662"/>
      <c r="K49" s="21">
        <f t="shared" si="10"/>
        <v>1</v>
      </c>
      <c r="L49" s="662"/>
      <c r="M49" s="21">
        <f t="shared" si="11"/>
        <v>1</v>
      </c>
      <c r="N49" s="662"/>
      <c r="O49" s="21">
        <f t="shared" si="12"/>
        <v>1</v>
      </c>
      <c r="P49" s="2795" t="s">
        <v>4206</v>
      </c>
      <c r="Q49" s="21">
        <f t="shared" si="13"/>
        <v>1</v>
      </c>
      <c r="R49" s="659">
        <f t="shared" ca="1" si="14"/>
        <v>22388</v>
      </c>
      <c r="S49" s="316">
        <f t="shared" ca="1" si="5"/>
        <v>3021</v>
      </c>
      <c r="T49" s="720" t="str">
        <f>'商办车库-新'!H223</f>
        <v>办公</v>
      </c>
      <c r="U49" s="720" t="str">
        <f>'商办车库-新'!C219</f>
        <v>昌平区英才南二街15号院1号楼1层103等[12]套</v>
      </c>
    </row>
    <row r="50" spans="1:21">
      <c r="A50" s="2408">
        <v>401</v>
      </c>
      <c r="B50" s="2408">
        <f>'商办车库-新'!F224</f>
        <v>1349.46</v>
      </c>
      <c r="C50" s="21">
        <f t="shared" si="6"/>
        <v>1</v>
      </c>
      <c r="D50" s="662"/>
      <c r="E50" s="21">
        <f t="shared" si="7"/>
        <v>1</v>
      </c>
      <c r="F50" s="662"/>
      <c r="G50" s="21">
        <f t="shared" si="8"/>
        <v>1</v>
      </c>
      <c r="H50" s="662"/>
      <c r="I50" s="21">
        <f t="shared" si="9"/>
        <v>1</v>
      </c>
      <c r="J50" s="662"/>
      <c r="K50" s="21">
        <f t="shared" si="10"/>
        <v>1</v>
      </c>
      <c r="L50" s="662"/>
      <c r="M50" s="21">
        <f t="shared" si="11"/>
        <v>1</v>
      </c>
      <c r="N50" s="662"/>
      <c r="O50" s="21">
        <f t="shared" si="12"/>
        <v>1</v>
      </c>
      <c r="P50" s="2795" t="s">
        <v>4206</v>
      </c>
      <c r="Q50" s="21">
        <f t="shared" si="13"/>
        <v>1</v>
      </c>
      <c r="R50" s="659">
        <f t="shared" ca="1" si="14"/>
        <v>22388</v>
      </c>
      <c r="S50" s="316">
        <f t="shared" ca="1" si="5"/>
        <v>3021</v>
      </c>
      <c r="T50" s="720" t="str">
        <f>'商办车库-新'!H224</f>
        <v>办公</v>
      </c>
    </row>
    <row r="51" spans="1:21">
      <c r="A51" s="2408">
        <v>501</v>
      </c>
      <c r="B51" s="2408">
        <f>'商办车库-新'!F225</f>
        <v>1349.46</v>
      </c>
      <c r="C51" s="21">
        <f t="shared" si="6"/>
        <v>1</v>
      </c>
      <c r="D51" s="662"/>
      <c r="E51" s="21">
        <f t="shared" si="7"/>
        <v>1</v>
      </c>
      <c r="F51" s="662"/>
      <c r="G51" s="21">
        <f t="shared" si="8"/>
        <v>1</v>
      </c>
      <c r="H51" s="662"/>
      <c r="I51" s="21">
        <f t="shared" si="9"/>
        <v>1</v>
      </c>
      <c r="J51" s="662"/>
      <c r="K51" s="21">
        <f t="shared" si="10"/>
        <v>1</v>
      </c>
      <c r="L51" s="662"/>
      <c r="M51" s="21">
        <f t="shared" si="11"/>
        <v>1</v>
      </c>
      <c r="N51" s="662"/>
      <c r="O51" s="21">
        <f t="shared" si="12"/>
        <v>1</v>
      </c>
      <c r="P51" s="2795" t="s">
        <v>4206</v>
      </c>
      <c r="Q51" s="21">
        <f t="shared" si="13"/>
        <v>1</v>
      </c>
      <c r="R51" s="659">
        <f t="shared" ca="1" si="14"/>
        <v>22388</v>
      </c>
      <c r="S51" s="316">
        <f t="shared" ca="1" si="5"/>
        <v>3021</v>
      </c>
      <c r="T51" s="720" t="str">
        <f>'商办车库-新'!H225</f>
        <v>办公</v>
      </c>
    </row>
    <row r="52" spans="1:21">
      <c r="A52" s="2408">
        <v>601</v>
      </c>
      <c r="B52" s="2408">
        <f>'商办车库-新'!F226</f>
        <v>1349.46</v>
      </c>
      <c r="C52" s="21">
        <f t="shared" si="6"/>
        <v>1</v>
      </c>
      <c r="D52" s="662"/>
      <c r="E52" s="21">
        <f t="shared" si="7"/>
        <v>1</v>
      </c>
      <c r="F52" s="662"/>
      <c r="G52" s="21">
        <f t="shared" si="8"/>
        <v>1</v>
      </c>
      <c r="H52" s="662"/>
      <c r="I52" s="21">
        <f t="shared" si="9"/>
        <v>1</v>
      </c>
      <c r="J52" s="662"/>
      <c r="K52" s="21">
        <f t="shared" si="10"/>
        <v>1</v>
      </c>
      <c r="L52" s="662"/>
      <c r="M52" s="21">
        <f t="shared" si="11"/>
        <v>1</v>
      </c>
      <c r="N52" s="662"/>
      <c r="O52" s="21">
        <f t="shared" si="12"/>
        <v>1</v>
      </c>
      <c r="P52" s="2795" t="s">
        <v>4206</v>
      </c>
      <c r="Q52" s="21">
        <f t="shared" si="13"/>
        <v>1</v>
      </c>
      <c r="R52" s="659">
        <f t="shared" ca="1" si="14"/>
        <v>22388</v>
      </c>
      <c r="S52" s="316">
        <f t="shared" ca="1" si="5"/>
        <v>3021</v>
      </c>
      <c r="T52" s="720" t="str">
        <f>'商办车库-新'!H226</f>
        <v>办公</v>
      </c>
    </row>
    <row r="53" spans="1:21">
      <c r="A53" s="2408">
        <v>701</v>
      </c>
      <c r="B53" s="2408">
        <f>'商办车库-新'!F227</f>
        <v>1349.46</v>
      </c>
      <c r="C53" s="21">
        <f t="shared" si="6"/>
        <v>1</v>
      </c>
      <c r="D53" s="662"/>
      <c r="E53" s="21">
        <f t="shared" si="7"/>
        <v>1</v>
      </c>
      <c r="F53" s="662"/>
      <c r="G53" s="21">
        <f t="shared" si="8"/>
        <v>1</v>
      </c>
      <c r="H53" s="662"/>
      <c r="I53" s="21">
        <f t="shared" si="9"/>
        <v>1</v>
      </c>
      <c r="J53" s="662"/>
      <c r="K53" s="21">
        <f t="shared" si="10"/>
        <v>1</v>
      </c>
      <c r="L53" s="662"/>
      <c r="M53" s="21">
        <f t="shared" si="11"/>
        <v>1</v>
      </c>
      <c r="N53" s="662"/>
      <c r="O53" s="21">
        <f t="shared" si="12"/>
        <v>1</v>
      </c>
      <c r="P53" s="2795" t="s">
        <v>4206</v>
      </c>
      <c r="Q53" s="21">
        <f t="shared" si="13"/>
        <v>1</v>
      </c>
      <c r="R53" s="659">
        <f t="shared" ca="1" si="14"/>
        <v>22388</v>
      </c>
      <c r="S53" s="316">
        <f t="shared" ca="1" si="5"/>
        <v>3021</v>
      </c>
      <c r="T53" s="720" t="str">
        <f>'商办车库-新'!H227</f>
        <v>办公</v>
      </c>
    </row>
    <row r="54" spans="1:21">
      <c r="A54" s="2408">
        <v>801</v>
      </c>
      <c r="B54" s="2408">
        <f>'商办车库-新'!F228</f>
        <v>1349.46</v>
      </c>
      <c r="C54" s="21">
        <f t="shared" si="6"/>
        <v>1</v>
      </c>
      <c r="D54" s="662"/>
      <c r="E54" s="21">
        <f t="shared" si="7"/>
        <v>1</v>
      </c>
      <c r="F54" s="662"/>
      <c r="G54" s="21">
        <f t="shared" si="8"/>
        <v>1</v>
      </c>
      <c r="H54" s="662"/>
      <c r="I54" s="21">
        <f t="shared" si="9"/>
        <v>1</v>
      </c>
      <c r="J54" s="662"/>
      <c r="K54" s="21">
        <f t="shared" si="10"/>
        <v>1</v>
      </c>
      <c r="L54" s="662"/>
      <c r="M54" s="21">
        <f t="shared" si="11"/>
        <v>1</v>
      </c>
      <c r="N54" s="662"/>
      <c r="O54" s="21">
        <f t="shared" si="12"/>
        <v>1</v>
      </c>
      <c r="P54" s="662" t="s">
        <v>4204</v>
      </c>
      <c r="Q54" s="21">
        <f t="shared" si="13"/>
        <v>1.03</v>
      </c>
      <c r="R54" s="659">
        <f t="shared" ca="1" si="14"/>
        <v>23060</v>
      </c>
      <c r="S54" s="316">
        <f t="shared" ca="1" si="5"/>
        <v>3112</v>
      </c>
      <c r="T54" s="720" t="str">
        <f>'商办车库-新'!H228</f>
        <v>办公</v>
      </c>
    </row>
    <row r="55" spans="1:21">
      <c r="A55" s="2408">
        <v>901</v>
      </c>
      <c r="B55" s="2408">
        <f>'商办车库-新'!F229</f>
        <v>1349.46</v>
      </c>
      <c r="C55" s="21">
        <f t="shared" si="6"/>
        <v>1</v>
      </c>
      <c r="D55" s="662"/>
      <c r="E55" s="21">
        <f t="shared" si="7"/>
        <v>1</v>
      </c>
      <c r="F55" s="662"/>
      <c r="G55" s="21">
        <f t="shared" si="8"/>
        <v>1</v>
      </c>
      <c r="H55" s="662"/>
      <c r="I55" s="21">
        <f t="shared" si="9"/>
        <v>1</v>
      </c>
      <c r="J55" s="662"/>
      <c r="K55" s="21">
        <f t="shared" si="10"/>
        <v>1</v>
      </c>
      <c r="L55" s="662"/>
      <c r="M55" s="21">
        <f t="shared" si="11"/>
        <v>1</v>
      </c>
      <c r="N55" s="662"/>
      <c r="O55" s="21">
        <f t="shared" si="12"/>
        <v>1</v>
      </c>
      <c r="P55" s="662" t="s">
        <v>4204</v>
      </c>
      <c r="Q55" s="21">
        <f t="shared" si="13"/>
        <v>1.03</v>
      </c>
      <c r="R55" s="659">
        <f t="shared" ca="1" si="14"/>
        <v>23060</v>
      </c>
      <c r="S55" s="316">
        <f t="shared" ca="1" si="5"/>
        <v>3112</v>
      </c>
      <c r="T55" s="720" t="str">
        <f>'商办车库-新'!H229</f>
        <v>办公</v>
      </c>
    </row>
    <row r="56" spans="1:21">
      <c r="A56" s="2408">
        <v>1001</v>
      </c>
      <c r="B56" s="2408">
        <f>'商办车库-新'!F230</f>
        <v>1349.46</v>
      </c>
      <c r="C56" s="21">
        <f t="shared" si="6"/>
        <v>1</v>
      </c>
      <c r="D56" s="662"/>
      <c r="E56" s="21">
        <f t="shared" si="7"/>
        <v>1</v>
      </c>
      <c r="F56" s="662"/>
      <c r="G56" s="21">
        <f t="shared" si="8"/>
        <v>1</v>
      </c>
      <c r="H56" s="662"/>
      <c r="I56" s="21">
        <f t="shared" si="9"/>
        <v>1</v>
      </c>
      <c r="J56" s="662"/>
      <c r="K56" s="21">
        <f t="shared" si="10"/>
        <v>1</v>
      </c>
      <c r="L56" s="662"/>
      <c r="M56" s="21">
        <f t="shared" si="11"/>
        <v>1</v>
      </c>
      <c r="N56" s="662"/>
      <c r="O56" s="21">
        <f t="shared" si="12"/>
        <v>1</v>
      </c>
      <c r="P56" s="662" t="s">
        <v>4204</v>
      </c>
      <c r="Q56" s="21">
        <f t="shared" si="13"/>
        <v>1.03</v>
      </c>
      <c r="R56" s="659">
        <f t="shared" ca="1" si="14"/>
        <v>23060</v>
      </c>
      <c r="S56" s="316">
        <f t="shared" ca="1" si="5"/>
        <v>3112</v>
      </c>
      <c r="T56" s="720" t="str">
        <f>'商办车库-新'!H230</f>
        <v>办公</v>
      </c>
    </row>
    <row r="57" spans="1:21">
      <c r="A57" s="150"/>
      <c r="B57" s="2408"/>
      <c r="C57" s="21">
        <f t="shared" si="6"/>
        <v>1</v>
      </c>
      <c r="D57" s="662"/>
      <c r="E57" s="21">
        <f t="shared" si="7"/>
        <v>1</v>
      </c>
      <c r="F57" s="662"/>
      <c r="G57" s="21">
        <f t="shared" si="8"/>
        <v>1</v>
      </c>
      <c r="H57" s="662"/>
      <c r="I57" s="21">
        <f t="shared" si="9"/>
        <v>1</v>
      </c>
      <c r="J57" s="662"/>
      <c r="K57" s="21">
        <f t="shared" si="10"/>
        <v>1</v>
      </c>
      <c r="L57" s="662"/>
      <c r="M57" s="21">
        <f t="shared" si="11"/>
        <v>1</v>
      </c>
      <c r="N57" s="662"/>
      <c r="O57" s="21">
        <f t="shared" si="12"/>
        <v>1</v>
      </c>
      <c r="P57" s="662"/>
      <c r="Q57" s="21">
        <f t="shared" si="13"/>
        <v>0.06</v>
      </c>
      <c r="R57" s="659">
        <f t="shared" si="14"/>
        <v>0</v>
      </c>
      <c r="S57" s="316">
        <f t="shared" si="5"/>
        <v>0</v>
      </c>
      <c r="T57" s="720">
        <f>'商办车库-新'!H231</f>
        <v>0</v>
      </c>
    </row>
    <row r="58" spans="1:21">
      <c r="A58" s="150" t="str">
        <f>'商办车库-新'!E232</f>
        <v>1单元301</v>
      </c>
      <c r="B58" s="2408">
        <f>'商办车库-新'!F232</f>
        <v>327.87</v>
      </c>
      <c r="C58" s="21">
        <f t="shared" si="6"/>
        <v>1.02</v>
      </c>
      <c r="D58" s="662"/>
      <c r="E58" s="21">
        <f t="shared" si="7"/>
        <v>1</v>
      </c>
      <c r="F58" s="662"/>
      <c r="G58" s="21">
        <f t="shared" si="8"/>
        <v>1</v>
      </c>
      <c r="H58" s="662"/>
      <c r="I58" s="21">
        <f t="shared" si="9"/>
        <v>1</v>
      </c>
      <c r="J58" s="662"/>
      <c r="K58" s="21">
        <f t="shared" si="10"/>
        <v>1</v>
      </c>
      <c r="L58" s="662"/>
      <c r="M58" s="21">
        <f t="shared" si="11"/>
        <v>1</v>
      </c>
      <c r="N58" s="662"/>
      <c r="O58" s="21">
        <f t="shared" si="12"/>
        <v>1</v>
      </c>
      <c r="P58" s="2795" t="s">
        <v>4206</v>
      </c>
      <c r="Q58" s="21">
        <f t="shared" si="13"/>
        <v>1</v>
      </c>
      <c r="R58" s="659">
        <f t="shared" ca="1" si="14"/>
        <v>22836</v>
      </c>
      <c r="S58" s="316">
        <f t="shared" ca="1" si="5"/>
        <v>749</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6"/>
        <v>1.02</v>
      </c>
      <c r="D59" s="662"/>
      <c r="E59" s="21">
        <f t="shared" si="7"/>
        <v>1</v>
      </c>
      <c r="F59" s="662"/>
      <c r="G59" s="21">
        <f t="shared" si="8"/>
        <v>1</v>
      </c>
      <c r="H59" s="662"/>
      <c r="I59" s="21">
        <f t="shared" si="9"/>
        <v>1</v>
      </c>
      <c r="J59" s="662"/>
      <c r="K59" s="21">
        <f t="shared" si="10"/>
        <v>1</v>
      </c>
      <c r="L59" s="662"/>
      <c r="M59" s="21">
        <f t="shared" si="11"/>
        <v>1</v>
      </c>
      <c r="N59" s="662"/>
      <c r="O59" s="21">
        <f t="shared" si="12"/>
        <v>1</v>
      </c>
      <c r="P59" s="2795" t="s">
        <v>4206</v>
      </c>
      <c r="Q59" s="21">
        <f t="shared" si="13"/>
        <v>1</v>
      </c>
      <c r="R59" s="659">
        <f t="shared" ca="1" si="14"/>
        <v>22836</v>
      </c>
      <c r="S59" s="316">
        <f t="shared" ca="1" si="5"/>
        <v>763</v>
      </c>
      <c r="T59" s="720" t="str">
        <f>'商办车库-新'!H233</f>
        <v>办公</v>
      </c>
    </row>
    <row r="60" spans="1:21">
      <c r="A60" s="150" t="str">
        <f>'商办车库-新'!E234</f>
        <v>1单元303</v>
      </c>
      <c r="B60" s="2408">
        <f>'商办车库-新'!F234</f>
        <v>1402.63</v>
      </c>
      <c r="C60" s="21">
        <f t="shared" si="6"/>
        <v>1</v>
      </c>
      <c r="D60" s="662"/>
      <c r="E60" s="21">
        <f t="shared" si="7"/>
        <v>1</v>
      </c>
      <c r="F60" s="662"/>
      <c r="G60" s="21">
        <f t="shared" si="8"/>
        <v>1</v>
      </c>
      <c r="H60" s="662"/>
      <c r="I60" s="21">
        <f t="shared" si="9"/>
        <v>1</v>
      </c>
      <c r="J60" s="662"/>
      <c r="K60" s="21">
        <f t="shared" si="10"/>
        <v>1</v>
      </c>
      <c r="L60" s="662"/>
      <c r="M60" s="21">
        <f t="shared" si="11"/>
        <v>1</v>
      </c>
      <c r="N60" s="662"/>
      <c r="O60" s="21">
        <f t="shared" si="12"/>
        <v>1</v>
      </c>
      <c r="P60" s="2795" t="s">
        <v>4206</v>
      </c>
      <c r="Q60" s="21">
        <f t="shared" si="13"/>
        <v>1</v>
      </c>
      <c r="R60" s="659">
        <f t="shared" ca="1" si="14"/>
        <v>22388</v>
      </c>
      <c r="S60" s="316">
        <f t="shared" ca="1" si="5"/>
        <v>3140</v>
      </c>
      <c r="T60" s="720" t="str">
        <f>'商办车库-新'!H234</f>
        <v>办公</v>
      </c>
    </row>
    <row r="61" spans="1:21">
      <c r="A61" s="150" t="str">
        <f>'商办车库-新'!E235</f>
        <v>1单元401</v>
      </c>
      <c r="B61" s="2408">
        <f>'商办车库-新'!F235</f>
        <v>1637.57</v>
      </c>
      <c r="C61" s="21">
        <f t="shared" si="6"/>
        <v>1</v>
      </c>
      <c r="D61" s="662"/>
      <c r="E61" s="21">
        <f t="shared" si="7"/>
        <v>1</v>
      </c>
      <c r="F61" s="662"/>
      <c r="G61" s="21">
        <f t="shared" si="8"/>
        <v>1</v>
      </c>
      <c r="H61" s="662"/>
      <c r="I61" s="21">
        <f t="shared" si="9"/>
        <v>1</v>
      </c>
      <c r="J61" s="662"/>
      <c r="K61" s="21">
        <f t="shared" si="10"/>
        <v>1</v>
      </c>
      <c r="L61" s="662"/>
      <c r="M61" s="21">
        <f t="shared" si="11"/>
        <v>1</v>
      </c>
      <c r="N61" s="662"/>
      <c r="O61" s="21">
        <f t="shared" si="12"/>
        <v>1</v>
      </c>
      <c r="P61" s="2795" t="s">
        <v>4206</v>
      </c>
      <c r="Q61" s="21">
        <f t="shared" si="13"/>
        <v>1</v>
      </c>
      <c r="R61" s="659">
        <f t="shared" ca="1" si="14"/>
        <v>22388</v>
      </c>
      <c r="S61" s="316">
        <f t="shared" ca="1" si="5"/>
        <v>3666</v>
      </c>
      <c r="T61" s="720" t="str">
        <f>'商办车库-新'!H235</f>
        <v>办公</v>
      </c>
    </row>
    <row r="62" spans="1:21">
      <c r="A62" s="150" t="str">
        <f>'商办车库-新'!E236</f>
        <v>1单元501</v>
      </c>
      <c r="B62" s="2408">
        <f>'商办车库-新'!F236</f>
        <v>1717.47</v>
      </c>
      <c r="C62" s="21">
        <f t="shared" si="6"/>
        <v>1</v>
      </c>
      <c r="D62" s="662"/>
      <c r="E62" s="21">
        <f t="shared" si="7"/>
        <v>1</v>
      </c>
      <c r="F62" s="662"/>
      <c r="G62" s="21">
        <f t="shared" si="8"/>
        <v>1</v>
      </c>
      <c r="H62" s="662"/>
      <c r="I62" s="21">
        <f t="shared" si="9"/>
        <v>1</v>
      </c>
      <c r="J62" s="662"/>
      <c r="K62" s="21">
        <f t="shared" si="10"/>
        <v>1</v>
      </c>
      <c r="L62" s="662"/>
      <c r="M62" s="21">
        <f t="shared" si="11"/>
        <v>1</v>
      </c>
      <c r="N62" s="662"/>
      <c r="O62" s="21">
        <f t="shared" si="12"/>
        <v>1</v>
      </c>
      <c r="P62" s="2795" t="s">
        <v>4206</v>
      </c>
      <c r="Q62" s="21">
        <f t="shared" si="13"/>
        <v>1</v>
      </c>
      <c r="R62" s="659">
        <f t="shared" ca="1" si="14"/>
        <v>22388</v>
      </c>
      <c r="S62" s="316">
        <f t="shared" ca="1" si="5"/>
        <v>3845</v>
      </c>
      <c r="T62" s="720" t="str">
        <f>'商办车库-新'!H236</f>
        <v>办公</v>
      </c>
    </row>
    <row r="63" spans="1:21">
      <c r="A63" s="150" t="str">
        <f>'商办车库-新'!E237</f>
        <v>1单元601</v>
      </c>
      <c r="B63" s="2408">
        <f>'商办车库-新'!F237</f>
        <v>1717.47</v>
      </c>
      <c r="C63" s="21">
        <f t="shared" si="6"/>
        <v>1</v>
      </c>
      <c r="D63" s="662"/>
      <c r="E63" s="21">
        <f t="shared" si="7"/>
        <v>1</v>
      </c>
      <c r="F63" s="662"/>
      <c r="G63" s="21">
        <f t="shared" si="8"/>
        <v>1</v>
      </c>
      <c r="H63" s="662"/>
      <c r="I63" s="21">
        <f t="shared" si="9"/>
        <v>1</v>
      </c>
      <c r="J63" s="662"/>
      <c r="K63" s="21">
        <f t="shared" si="10"/>
        <v>1</v>
      </c>
      <c r="L63" s="662"/>
      <c r="M63" s="21">
        <f t="shared" si="11"/>
        <v>1</v>
      </c>
      <c r="N63" s="662"/>
      <c r="O63" s="21">
        <f t="shared" si="12"/>
        <v>1</v>
      </c>
      <c r="P63" s="2795" t="s">
        <v>4206</v>
      </c>
      <c r="Q63" s="21">
        <f t="shared" si="13"/>
        <v>1</v>
      </c>
      <c r="R63" s="659">
        <f t="shared" ca="1" si="14"/>
        <v>22388</v>
      </c>
      <c r="S63" s="316">
        <f t="shared" ca="1" si="5"/>
        <v>3845</v>
      </c>
      <c r="T63" s="720" t="str">
        <f>'商办车库-新'!H237</f>
        <v>办公</v>
      </c>
    </row>
    <row r="64" spans="1:21">
      <c r="A64" s="150" t="str">
        <f>'商办车库-新'!E238</f>
        <v>1单元701</v>
      </c>
      <c r="B64" s="2408">
        <f>'商办车库-新'!F238</f>
        <v>1717.47</v>
      </c>
      <c r="C64" s="21">
        <f t="shared" si="6"/>
        <v>1</v>
      </c>
      <c r="D64" s="662"/>
      <c r="E64" s="21">
        <f t="shared" si="7"/>
        <v>1</v>
      </c>
      <c r="F64" s="662"/>
      <c r="G64" s="21">
        <f t="shared" si="8"/>
        <v>1</v>
      </c>
      <c r="H64" s="662"/>
      <c r="I64" s="21">
        <f t="shared" si="9"/>
        <v>1</v>
      </c>
      <c r="J64" s="662"/>
      <c r="K64" s="21">
        <f t="shared" si="10"/>
        <v>1</v>
      </c>
      <c r="L64" s="662"/>
      <c r="M64" s="21">
        <f t="shared" si="11"/>
        <v>1</v>
      </c>
      <c r="N64" s="662"/>
      <c r="O64" s="21">
        <f t="shared" si="12"/>
        <v>1</v>
      </c>
      <c r="P64" s="662" t="s">
        <v>4204</v>
      </c>
      <c r="Q64" s="21">
        <f t="shared" si="13"/>
        <v>1.03</v>
      </c>
      <c r="R64" s="659">
        <f t="shared" ca="1" si="14"/>
        <v>23060</v>
      </c>
      <c r="S64" s="316">
        <f t="shared" ca="1" si="5"/>
        <v>3960</v>
      </c>
      <c r="T64" s="720" t="str">
        <f>'商办车库-新'!H238</f>
        <v>办公</v>
      </c>
    </row>
    <row r="65" spans="1:20">
      <c r="A65" s="150" t="str">
        <f>'商办车库-新'!E239</f>
        <v>1单元801</v>
      </c>
      <c r="B65" s="2408">
        <f>'商办车库-新'!F239</f>
        <v>1717.47</v>
      </c>
      <c r="C65" s="21">
        <f t="shared" si="6"/>
        <v>1</v>
      </c>
      <c r="D65" s="662"/>
      <c r="E65" s="21">
        <f t="shared" si="7"/>
        <v>1</v>
      </c>
      <c r="F65" s="662"/>
      <c r="G65" s="21">
        <f t="shared" si="8"/>
        <v>1</v>
      </c>
      <c r="H65" s="662"/>
      <c r="I65" s="21">
        <f t="shared" si="9"/>
        <v>1</v>
      </c>
      <c r="J65" s="662"/>
      <c r="K65" s="21">
        <f t="shared" si="10"/>
        <v>1</v>
      </c>
      <c r="L65" s="662"/>
      <c r="M65" s="21">
        <f t="shared" si="11"/>
        <v>1</v>
      </c>
      <c r="N65" s="662"/>
      <c r="O65" s="21">
        <f t="shared" si="12"/>
        <v>1</v>
      </c>
      <c r="P65" s="662" t="s">
        <v>4204</v>
      </c>
      <c r="Q65" s="21">
        <f t="shared" si="13"/>
        <v>1.03</v>
      </c>
      <c r="R65" s="659">
        <f t="shared" ca="1" si="14"/>
        <v>23060</v>
      </c>
      <c r="S65" s="316">
        <f t="shared" ca="1" si="5"/>
        <v>3960</v>
      </c>
      <c r="T65" s="720" t="str">
        <f>'商办车库-新'!H239</f>
        <v>办公</v>
      </c>
    </row>
    <row r="66" spans="1:20">
      <c r="A66" s="150" t="str">
        <f>'商办车库-新'!E240</f>
        <v>1单元901</v>
      </c>
      <c r="B66" s="2408">
        <f>'商办车库-新'!F240</f>
        <v>1717.47</v>
      </c>
      <c r="C66" s="21">
        <f t="shared" si="6"/>
        <v>1</v>
      </c>
      <c r="D66" s="662"/>
      <c r="E66" s="21">
        <f t="shared" si="7"/>
        <v>1</v>
      </c>
      <c r="F66" s="662"/>
      <c r="G66" s="21">
        <f t="shared" si="8"/>
        <v>1</v>
      </c>
      <c r="H66" s="662"/>
      <c r="I66" s="21">
        <f t="shared" si="9"/>
        <v>1</v>
      </c>
      <c r="J66" s="662"/>
      <c r="K66" s="21">
        <f t="shared" si="10"/>
        <v>1</v>
      </c>
      <c r="L66" s="662"/>
      <c r="M66" s="21">
        <f t="shared" si="11"/>
        <v>1</v>
      </c>
      <c r="N66" s="662"/>
      <c r="O66" s="21">
        <f t="shared" si="12"/>
        <v>1</v>
      </c>
      <c r="P66" s="662" t="s">
        <v>4204</v>
      </c>
      <c r="Q66" s="21">
        <f t="shared" si="13"/>
        <v>1.03</v>
      </c>
      <c r="R66" s="659">
        <f t="shared" ca="1" si="14"/>
        <v>23060</v>
      </c>
      <c r="S66" s="316">
        <f t="shared" ca="1" si="5"/>
        <v>3960</v>
      </c>
      <c r="T66" s="720" t="str">
        <f>'商办车库-新'!H240</f>
        <v>办公</v>
      </c>
    </row>
    <row r="67" spans="1:20">
      <c r="A67" s="150" t="str">
        <f>'商办车库-新'!E241</f>
        <v>1单元1001</v>
      </c>
      <c r="B67" s="2408">
        <f>'商办车库-新'!F241</f>
        <v>1717.47</v>
      </c>
      <c r="C67" s="21">
        <f t="shared" si="6"/>
        <v>1</v>
      </c>
      <c r="D67" s="662"/>
      <c r="E67" s="21">
        <f t="shared" si="7"/>
        <v>1</v>
      </c>
      <c r="F67" s="662"/>
      <c r="G67" s="21">
        <f t="shared" si="8"/>
        <v>1</v>
      </c>
      <c r="H67" s="662"/>
      <c r="I67" s="21">
        <f t="shared" si="9"/>
        <v>1</v>
      </c>
      <c r="J67" s="662"/>
      <c r="K67" s="21">
        <f t="shared" si="10"/>
        <v>1</v>
      </c>
      <c r="L67" s="662"/>
      <c r="M67" s="21">
        <f t="shared" si="11"/>
        <v>1</v>
      </c>
      <c r="N67" s="662"/>
      <c r="O67" s="21">
        <f t="shared" si="12"/>
        <v>1</v>
      </c>
      <c r="P67" s="662" t="s">
        <v>4204</v>
      </c>
      <c r="Q67" s="21">
        <f t="shared" si="13"/>
        <v>1.03</v>
      </c>
      <c r="R67" s="659">
        <f t="shared" ca="1" si="14"/>
        <v>23060</v>
      </c>
      <c r="S67" s="316">
        <f t="shared" ca="1" si="5"/>
        <v>3960</v>
      </c>
      <c r="T67" s="720" t="str">
        <f>'商办车库-新'!H241</f>
        <v>办公</v>
      </c>
    </row>
    <row r="68" spans="1:20">
      <c r="A68" s="150" t="str">
        <f>'商办车库-新'!E242</f>
        <v>1单元1101</v>
      </c>
      <c r="B68" s="2408">
        <f>'商办车库-新'!F242</f>
        <v>1717.47</v>
      </c>
      <c r="C68" s="21">
        <f t="shared" si="6"/>
        <v>1</v>
      </c>
      <c r="D68" s="662"/>
      <c r="E68" s="21">
        <f t="shared" si="7"/>
        <v>1</v>
      </c>
      <c r="F68" s="662"/>
      <c r="G68" s="21">
        <f t="shared" si="8"/>
        <v>1</v>
      </c>
      <c r="H68" s="662"/>
      <c r="I68" s="21">
        <f t="shared" si="9"/>
        <v>1</v>
      </c>
      <c r="J68" s="662"/>
      <c r="K68" s="21">
        <f t="shared" si="10"/>
        <v>1</v>
      </c>
      <c r="L68" s="662"/>
      <c r="M68" s="21">
        <f t="shared" si="11"/>
        <v>1</v>
      </c>
      <c r="N68" s="662"/>
      <c r="O68" s="21">
        <f t="shared" si="12"/>
        <v>1</v>
      </c>
      <c r="P68" s="662" t="s">
        <v>4204</v>
      </c>
      <c r="Q68" s="21">
        <f t="shared" si="13"/>
        <v>1.03</v>
      </c>
      <c r="R68" s="659">
        <f t="shared" ca="1" si="14"/>
        <v>23060</v>
      </c>
      <c r="S68" s="316">
        <f t="shared" ca="1" si="5"/>
        <v>3960</v>
      </c>
      <c r="T68" s="720" t="str">
        <f>'商办车库-新'!H242</f>
        <v>办公</v>
      </c>
    </row>
    <row r="69" spans="1:20">
      <c r="A69" s="150" t="str">
        <f>'商办车库-新'!E243</f>
        <v>1单元1201</v>
      </c>
      <c r="B69" s="2408">
        <f>'商办车库-新'!F243</f>
        <v>1717.47</v>
      </c>
      <c r="C69" s="21">
        <f t="shared" si="6"/>
        <v>1</v>
      </c>
      <c r="D69" s="662"/>
      <c r="E69" s="21">
        <f t="shared" si="7"/>
        <v>1</v>
      </c>
      <c r="F69" s="662"/>
      <c r="G69" s="21">
        <f t="shared" si="8"/>
        <v>1</v>
      </c>
      <c r="H69" s="662"/>
      <c r="I69" s="21">
        <f t="shared" si="9"/>
        <v>1</v>
      </c>
      <c r="J69" s="662"/>
      <c r="K69" s="21">
        <f t="shared" si="10"/>
        <v>1</v>
      </c>
      <c r="L69" s="662"/>
      <c r="M69" s="21">
        <f t="shared" si="11"/>
        <v>1</v>
      </c>
      <c r="N69" s="662"/>
      <c r="O69" s="21">
        <f t="shared" si="12"/>
        <v>1</v>
      </c>
      <c r="P69" s="662" t="s">
        <v>4204</v>
      </c>
      <c r="Q69" s="21">
        <f t="shared" si="13"/>
        <v>1.03</v>
      </c>
      <c r="R69" s="659">
        <f t="shared" ca="1" si="14"/>
        <v>23060</v>
      </c>
      <c r="S69" s="316">
        <f t="shared" ca="1" si="5"/>
        <v>3960</v>
      </c>
      <c r="T69" s="720" t="str">
        <f>'商办车库-新'!H243</f>
        <v>办公</v>
      </c>
    </row>
    <row r="70" spans="1:20">
      <c r="A70" s="150" t="str">
        <f>'商办车库-新'!E244</f>
        <v>1单元1301</v>
      </c>
      <c r="B70" s="2408">
        <f>'商办车库-新'!F244</f>
        <v>1717.47</v>
      </c>
      <c r="C70" s="21">
        <f t="shared" si="6"/>
        <v>1</v>
      </c>
      <c r="D70" s="662"/>
      <c r="E70" s="21">
        <f t="shared" si="7"/>
        <v>1</v>
      </c>
      <c r="F70" s="662"/>
      <c r="G70" s="21">
        <f t="shared" si="8"/>
        <v>1</v>
      </c>
      <c r="H70" s="662"/>
      <c r="I70" s="21">
        <f t="shared" si="9"/>
        <v>1</v>
      </c>
      <c r="J70" s="662"/>
      <c r="K70" s="21">
        <f t="shared" si="10"/>
        <v>1</v>
      </c>
      <c r="L70" s="662"/>
      <c r="M70" s="21">
        <f t="shared" si="11"/>
        <v>1</v>
      </c>
      <c r="N70" s="662"/>
      <c r="O70" s="21">
        <f t="shared" si="12"/>
        <v>1</v>
      </c>
      <c r="P70" s="2795" t="s">
        <v>4202</v>
      </c>
      <c r="Q70" s="21">
        <f t="shared" si="13"/>
        <v>1.06</v>
      </c>
      <c r="R70" s="659">
        <f t="shared" ca="1" si="14"/>
        <v>23731</v>
      </c>
      <c r="S70" s="316">
        <f t="shared" ca="1" si="5"/>
        <v>4076</v>
      </c>
      <c r="T70" s="720" t="str">
        <f>'商办车库-新'!H244</f>
        <v>办公</v>
      </c>
    </row>
    <row r="71" spans="1:20">
      <c r="A71" s="150" t="str">
        <f>'商办车库-新'!E245</f>
        <v>1单元1401</v>
      </c>
      <c r="B71" s="2408">
        <f>'商办车库-新'!F245</f>
        <v>1007.74</v>
      </c>
      <c r="C71" s="21">
        <f t="shared" si="6"/>
        <v>1</v>
      </c>
      <c r="D71" s="662"/>
      <c r="E71" s="21">
        <f t="shared" si="7"/>
        <v>1</v>
      </c>
      <c r="F71" s="662"/>
      <c r="G71" s="21">
        <f t="shared" si="8"/>
        <v>1</v>
      </c>
      <c r="H71" s="662"/>
      <c r="I71" s="21">
        <f t="shared" si="9"/>
        <v>1</v>
      </c>
      <c r="J71" s="662"/>
      <c r="K71" s="21">
        <f t="shared" si="10"/>
        <v>1</v>
      </c>
      <c r="L71" s="662"/>
      <c r="M71" s="21">
        <f t="shared" si="11"/>
        <v>1</v>
      </c>
      <c r="N71" s="662"/>
      <c r="O71" s="21">
        <f t="shared" si="12"/>
        <v>1</v>
      </c>
      <c r="P71" s="2795" t="s">
        <v>4202</v>
      </c>
      <c r="Q71" s="21">
        <f t="shared" si="13"/>
        <v>1.06</v>
      </c>
      <c r="R71" s="659">
        <f t="shared" ca="1" si="14"/>
        <v>23731</v>
      </c>
      <c r="S71" s="316">
        <f t="shared" ca="1" si="5"/>
        <v>2391</v>
      </c>
      <c r="T71" s="720" t="str">
        <f>'商办车库-新'!H245</f>
        <v>办公</v>
      </c>
    </row>
    <row r="72" spans="1:20">
      <c r="A72" s="150" t="str">
        <f>'商办车库-新'!E246</f>
        <v>1单元1501</v>
      </c>
      <c r="B72" s="2408">
        <f>'商办车库-新'!F246</f>
        <v>1007.74</v>
      </c>
      <c r="C72" s="21">
        <f t="shared" si="6"/>
        <v>1</v>
      </c>
      <c r="D72" s="662"/>
      <c r="E72" s="21">
        <f t="shared" si="7"/>
        <v>1</v>
      </c>
      <c r="F72" s="662"/>
      <c r="G72" s="21">
        <f t="shared" si="8"/>
        <v>1</v>
      </c>
      <c r="H72" s="662"/>
      <c r="I72" s="21">
        <f t="shared" si="9"/>
        <v>1</v>
      </c>
      <c r="J72" s="662"/>
      <c r="K72" s="21">
        <f t="shared" si="10"/>
        <v>1</v>
      </c>
      <c r="L72" s="662"/>
      <c r="M72" s="21">
        <f t="shared" si="11"/>
        <v>1</v>
      </c>
      <c r="N72" s="662"/>
      <c r="O72" s="21">
        <f t="shared" si="12"/>
        <v>1</v>
      </c>
      <c r="P72" s="2795" t="s">
        <v>4202</v>
      </c>
      <c r="Q72" s="21">
        <f t="shared" si="13"/>
        <v>1.06</v>
      </c>
      <c r="R72" s="659">
        <f t="shared" ca="1" si="14"/>
        <v>23731</v>
      </c>
      <c r="S72" s="316">
        <f t="shared" ca="1" si="5"/>
        <v>2391</v>
      </c>
      <c r="T72" s="720" t="str">
        <f>'商办车库-新'!H246</f>
        <v>办公</v>
      </c>
    </row>
    <row r="73" spans="1:20">
      <c r="A73" s="150" t="str">
        <f>'商办车库-新'!E247</f>
        <v>1单元1601</v>
      </c>
      <c r="B73" s="2408">
        <f>'商办车库-新'!F247</f>
        <v>1717.47</v>
      </c>
      <c r="C73" s="21">
        <f t="shared" si="6"/>
        <v>1</v>
      </c>
      <c r="D73" s="662"/>
      <c r="E73" s="21">
        <f t="shared" si="7"/>
        <v>1</v>
      </c>
      <c r="F73" s="662"/>
      <c r="G73" s="21">
        <f t="shared" si="8"/>
        <v>1</v>
      </c>
      <c r="H73" s="662"/>
      <c r="I73" s="21">
        <f t="shared" si="9"/>
        <v>1</v>
      </c>
      <c r="J73" s="662"/>
      <c r="K73" s="21">
        <f t="shared" si="10"/>
        <v>1</v>
      </c>
      <c r="L73" s="662"/>
      <c r="M73" s="21">
        <f t="shared" si="11"/>
        <v>1</v>
      </c>
      <c r="N73" s="662"/>
      <c r="O73" s="21">
        <f t="shared" si="12"/>
        <v>1</v>
      </c>
      <c r="P73" s="2795" t="s">
        <v>4202</v>
      </c>
      <c r="Q73" s="21">
        <f t="shared" si="13"/>
        <v>1.06</v>
      </c>
      <c r="R73" s="659">
        <f t="shared" ca="1" si="14"/>
        <v>23731</v>
      </c>
      <c r="S73" s="316">
        <f t="shared" ca="1" si="5"/>
        <v>4076</v>
      </c>
      <c r="T73" s="720" t="str">
        <f>'商办车库-新'!H247</f>
        <v>办公</v>
      </c>
    </row>
    <row r="74" spans="1:20">
      <c r="A74" s="150" t="str">
        <f>'商办车库-新'!E248</f>
        <v>1单元1701</v>
      </c>
      <c r="B74" s="2408">
        <f>'商办车库-新'!F248</f>
        <v>1717.47</v>
      </c>
      <c r="C74" s="21">
        <f t="shared" si="6"/>
        <v>1</v>
      </c>
      <c r="D74" s="662"/>
      <c r="E74" s="21">
        <f t="shared" si="7"/>
        <v>1</v>
      </c>
      <c r="F74" s="662"/>
      <c r="G74" s="21">
        <f t="shared" si="8"/>
        <v>1</v>
      </c>
      <c r="H74" s="662"/>
      <c r="I74" s="21">
        <f t="shared" si="9"/>
        <v>1</v>
      </c>
      <c r="J74" s="662"/>
      <c r="K74" s="21">
        <f t="shared" si="10"/>
        <v>1</v>
      </c>
      <c r="L74" s="662"/>
      <c r="M74" s="21">
        <f t="shared" si="11"/>
        <v>1</v>
      </c>
      <c r="N74" s="662"/>
      <c r="O74" s="21">
        <f t="shared" si="12"/>
        <v>1</v>
      </c>
      <c r="P74" s="2795" t="s">
        <v>4202</v>
      </c>
      <c r="Q74" s="21">
        <f t="shared" si="13"/>
        <v>1.06</v>
      </c>
      <c r="R74" s="659">
        <f t="shared" ca="1" si="14"/>
        <v>23731</v>
      </c>
      <c r="S74" s="316">
        <f t="shared" ca="1" si="5"/>
        <v>4076</v>
      </c>
      <c r="T74" s="720" t="str">
        <f>'商办车库-新'!H248</f>
        <v>办公</v>
      </c>
    </row>
    <row r="75" spans="1:20">
      <c r="A75" s="150" t="str">
        <f>'商办车库-新'!E249</f>
        <v>1单元1801</v>
      </c>
      <c r="B75" s="2408">
        <f>'商办车库-新'!F249</f>
        <v>1717.47</v>
      </c>
      <c r="C75" s="21">
        <f t="shared" si="6"/>
        <v>1</v>
      </c>
      <c r="D75" s="662"/>
      <c r="E75" s="21">
        <f t="shared" si="7"/>
        <v>1</v>
      </c>
      <c r="F75" s="662"/>
      <c r="G75" s="21">
        <f t="shared" si="8"/>
        <v>1</v>
      </c>
      <c r="H75" s="662"/>
      <c r="I75" s="21">
        <f t="shared" si="9"/>
        <v>1</v>
      </c>
      <c r="J75" s="662"/>
      <c r="K75" s="21">
        <f t="shared" si="10"/>
        <v>1</v>
      </c>
      <c r="L75" s="662"/>
      <c r="M75" s="21">
        <f t="shared" si="11"/>
        <v>1</v>
      </c>
      <c r="N75" s="662"/>
      <c r="O75" s="21">
        <f t="shared" si="12"/>
        <v>1</v>
      </c>
      <c r="P75" s="2795" t="s">
        <v>4202</v>
      </c>
      <c r="Q75" s="21">
        <f t="shared" si="13"/>
        <v>1.06</v>
      </c>
      <c r="R75" s="659">
        <f t="shared" ca="1" si="14"/>
        <v>23731</v>
      </c>
      <c r="S75" s="316">
        <f t="shared" ca="1" si="5"/>
        <v>4076</v>
      </c>
      <c r="T75" s="720" t="str">
        <f>'商办车库-新'!H249</f>
        <v>办公</v>
      </c>
    </row>
    <row r="76" spans="1:20">
      <c r="A76" s="150" t="str">
        <f>'商办车库-新'!E250</f>
        <v>2单元301</v>
      </c>
      <c r="B76" s="2408">
        <f>'商办车库-新'!F250</f>
        <v>1909.09</v>
      </c>
      <c r="C76" s="21">
        <f t="shared" si="6"/>
        <v>1</v>
      </c>
      <c r="D76" s="662"/>
      <c r="E76" s="21">
        <f t="shared" si="7"/>
        <v>1</v>
      </c>
      <c r="F76" s="662"/>
      <c r="G76" s="21">
        <f t="shared" si="8"/>
        <v>1</v>
      </c>
      <c r="H76" s="662"/>
      <c r="I76" s="21">
        <f t="shared" si="9"/>
        <v>1</v>
      </c>
      <c r="J76" s="662"/>
      <c r="K76" s="21">
        <f t="shared" si="10"/>
        <v>1</v>
      </c>
      <c r="L76" s="662"/>
      <c r="M76" s="21">
        <f t="shared" si="11"/>
        <v>1</v>
      </c>
      <c r="N76" s="662"/>
      <c r="O76" s="21">
        <f t="shared" si="12"/>
        <v>1</v>
      </c>
      <c r="P76" s="2795" t="s">
        <v>4206</v>
      </c>
      <c r="Q76" s="21">
        <f t="shared" si="13"/>
        <v>1</v>
      </c>
      <c r="R76" s="659">
        <f t="shared" ca="1" si="14"/>
        <v>22388</v>
      </c>
      <c r="S76" s="316">
        <f t="shared" ca="1" si="5"/>
        <v>4274</v>
      </c>
      <c r="T76" s="720" t="str">
        <f>'商办车库-新'!H250</f>
        <v>办公</v>
      </c>
    </row>
    <row r="77" spans="1:20">
      <c r="A77" s="150" t="str">
        <f>'商办车库-新'!E251</f>
        <v>2单元401</v>
      </c>
      <c r="B77" s="2408">
        <f>'商办车库-新'!F251</f>
        <v>2123.52</v>
      </c>
      <c r="C77" s="21">
        <f t="shared" si="6"/>
        <v>0.99</v>
      </c>
      <c r="D77" s="662"/>
      <c r="E77" s="21">
        <f t="shared" si="7"/>
        <v>1</v>
      </c>
      <c r="F77" s="662"/>
      <c r="G77" s="21">
        <f t="shared" si="8"/>
        <v>1</v>
      </c>
      <c r="H77" s="662"/>
      <c r="I77" s="21">
        <f t="shared" si="9"/>
        <v>1</v>
      </c>
      <c r="J77" s="662"/>
      <c r="K77" s="21">
        <f t="shared" si="10"/>
        <v>1</v>
      </c>
      <c r="L77" s="662"/>
      <c r="M77" s="21">
        <f t="shared" si="11"/>
        <v>1</v>
      </c>
      <c r="N77" s="662"/>
      <c r="O77" s="21">
        <f t="shared" si="12"/>
        <v>1</v>
      </c>
      <c r="P77" s="2795" t="s">
        <v>4206</v>
      </c>
      <c r="Q77" s="21">
        <f t="shared" si="13"/>
        <v>1</v>
      </c>
      <c r="R77" s="659">
        <f t="shared" ca="1" si="14"/>
        <v>22164</v>
      </c>
      <c r="S77" s="316">
        <f t="shared" ca="1" si="5"/>
        <v>4707</v>
      </c>
      <c r="T77" s="720" t="str">
        <f>'商办车库-新'!H251</f>
        <v>办公</v>
      </c>
    </row>
    <row r="78" spans="1:20">
      <c r="A78" s="150" t="str">
        <f>'商办车库-新'!E252</f>
        <v>2单元501</v>
      </c>
      <c r="B78" s="2408">
        <f>'商办车库-新'!F252</f>
        <v>2492.4899999999998</v>
      </c>
      <c r="C78" s="21">
        <f t="shared" si="6"/>
        <v>0.99</v>
      </c>
      <c r="D78" s="662"/>
      <c r="E78" s="21">
        <f t="shared" si="7"/>
        <v>1</v>
      </c>
      <c r="F78" s="662"/>
      <c r="G78" s="21">
        <f t="shared" si="8"/>
        <v>1</v>
      </c>
      <c r="H78" s="662"/>
      <c r="I78" s="21">
        <f t="shared" si="9"/>
        <v>1</v>
      </c>
      <c r="J78" s="662"/>
      <c r="K78" s="21">
        <f t="shared" si="10"/>
        <v>1</v>
      </c>
      <c r="L78" s="662"/>
      <c r="M78" s="21">
        <f t="shared" si="11"/>
        <v>1</v>
      </c>
      <c r="N78" s="662"/>
      <c r="O78" s="21">
        <f t="shared" si="12"/>
        <v>1</v>
      </c>
      <c r="P78" s="2795" t="s">
        <v>4206</v>
      </c>
      <c r="Q78" s="21">
        <f t="shared" si="13"/>
        <v>1</v>
      </c>
      <c r="R78" s="659">
        <f t="shared" ca="1" si="14"/>
        <v>22164</v>
      </c>
      <c r="S78" s="316">
        <f t="shared" ca="1" si="5"/>
        <v>5524</v>
      </c>
      <c r="T78" s="720" t="str">
        <f>'商办车库-新'!H252</f>
        <v>办公</v>
      </c>
    </row>
    <row r="79" spans="1:20">
      <c r="A79" s="150" t="str">
        <f>'商办车库-新'!E253</f>
        <v>2单元601</v>
      </c>
      <c r="B79" s="2408">
        <f>'商办车库-新'!F253</f>
        <v>2492.4899999999998</v>
      </c>
      <c r="C79" s="21">
        <f t="shared" si="6"/>
        <v>0.99</v>
      </c>
      <c r="D79" s="662"/>
      <c r="E79" s="21">
        <f t="shared" si="7"/>
        <v>1</v>
      </c>
      <c r="F79" s="662"/>
      <c r="G79" s="21">
        <f t="shared" si="8"/>
        <v>1</v>
      </c>
      <c r="H79" s="662"/>
      <c r="I79" s="21">
        <f t="shared" si="9"/>
        <v>1</v>
      </c>
      <c r="J79" s="662"/>
      <c r="K79" s="21">
        <f t="shared" si="10"/>
        <v>1</v>
      </c>
      <c r="L79" s="662"/>
      <c r="M79" s="21">
        <f t="shared" si="11"/>
        <v>1</v>
      </c>
      <c r="N79" s="662"/>
      <c r="O79" s="21">
        <f t="shared" si="12"/>
        <v>1</v>
      </c>
      <c r="P79" s="2795" t="s">
        <v>4206</v>
      </c>
      <c r="Q79" s="21">
        <f t="shared" si="13"/>
        <v>1</v>
      </c>
      <c r="R79" s="659">
        <f t="shared" ca="1" si="14"/>
        <v>22164</v>
      </c>
      <c r="S79" s="316">
        <f t="shared" ca="1" si="5"/>
        <v>5524</v>
      </c>
      <c r="T79" s="720" t="str">
        <f>'商办车库-新'!H253</f>
        <v>办公</v>
      </c>
    </row>
    <row r="80" spans="1:20">
      <c r="A80" s="150" t="str">
        <f>'商办车库-新'!E254</f>
        <v>2单元701</v>
      </c>
      <c r="B80" s="2408">
        <f>'商办车库-新'!F254</f>
        <v>2492.4899999999998</v>
      </c>
      <c r="C80" s="21">
        <f t="shared" si="6"/>
        <v>0.99</v>
      </c>
      <c r="D80" s="662"/>
      <c r="E80" s="21">
        <f t="shared" si="7"/>
        <v>1</v>
      </c>
      <c r="F80" s="662"/>
      <c r="G80" s="21">
        <f t="shared" si="8"/>
        <v>1</v>
      </c>
      <c r="H80" s="662"/>
      <c r="I80" s="21">
        <f t="shared" si="9"/>
        <v>1</v>
      </c>
      <c r="J80" s="662"/>
      <c r="K80" s="21">
        <f t="shared" si="10"/>
        <v>1</v>
      </c>
      <c r="L80" s="662"/>
      <c r="M80" s="21">
        <f t="shared" si="11"/>
        <v>1</v>
      </c>
      <c r="N80" s="662"/>
      <c r="O80" s="21">
        <f t="shared" si="12"/>
        <v>1</v>
      </c>
      <c r="P80" s="662" t="s">
        <v>4204</v>
      </c>
      <c r="Q80" s="21">
        <f t="shared" si="13"/>
        <v>1.03</v>
      </c>
      <c r="R80" s="659">
        <f t="shared" ca="1" si="14"/>
        <v>22829</v>
      </c>
      <c r="S80" s="316">
        <f t="shared" ca="1" si="5"/>
        <v>5690</v>
      </c>
      <c r="T80" s="720" t="str">
        <f>'商办车库-新'!H254</f>
        <v>办公</v>
      </c>
    </row>
    <row r="81" spans="1:21">
      <c r="A81" s="150" t="str">
        <f>'商办车库-新'!E255</f>
        <v>2单元801</v>
      </c>
      <c r="B81" s="2408">
        <f>'商办车库-新'!F255</f>
        <v>2492.4899999999998</v>
      </c>
      <c r="C81" s="21">
        <f t="shared" si="6"/>
        <v>0.99</v>
      </c>
      <c r="D81" s="662"/>
      <c r="E81" s="21">
        <f t="shared" si="7"/>
        <v>1</v>
      </c>
      <c r="F81" s="662"/>
      <c r="G81" s="21">
        <f t="shared" si="8"/>
        <v>1</v>
      </c>
      <c r="H81" s="662"/>
      <c r="I81" s="21">
        <f t="shared" si="9"/>
        <v>1</v>
      </c>
      <c r="J81" s="662"/>
      <c r="K81" s="21">
        <f t="shared" si="10"/>
        <v>1</v>
      </c>
      <c r="L81" s="662"/>
      <c r="M81" s="21">
        <f t="shared" si="11"/>
        <v>1</v>
      </c>
      <c r="N81" s="662"/>
      <c r="O81" s="21">
        <f t="shared" si="12"/>
        <v>1</v>
      </c>
      <c r="P81" s="662" t="s">
        <v>4204</v>
      </c>
      <c r="Q81" s="21">
        <f t="shared" si="13"/>
        <v>1.03</v>
      </c>
      <c r="R81" s="659">
        <f t="shared" ca="1" si="14"/>
        <v>22829</v>
      </c>
      <c r="S81" s="316">
        <f t="shared" ca="1" si="5"/>
        <v>5690</v>
      </c>
      <c r="T81" s="720" t="str">
        <f>'商办车库-新'!H255</f>
        <v>办公</v>
      </c>
    </row>
    <row r="82" spans="1:21">
      <c r="A82" s="150"/>
      <c r="B82" s="2408"/>
      <c r="C82" s="21">
        <f t="shared" si="6"/>
        <v>1</v>
      </c>
      <c r="D82" s="662"/>
      <c r="E82" s="21">
        <f t="shared" si="7"/>
        <v>1</v>
      </c>
      <c r="F82" s="662"/>
      <c r="G82" s="21">
        <f t="shared" si="8"/>
        <v>1</v>
      </c>
      <c r="H82" s="662"/>
      <c r="I82" s="21">
        <f t="shared" si="9"/>
        <v>1</v>
      </c>
      <c r="J82" s="662"/>
      <c r="K82" s="21">
        <f t="shared" si="10"/>
        <v>1</v>
      </c>
      <c r="L82" s="662"/>
      <c r="M82" s="21">
        <f t="shared" si="11"/>
        <v>1</v>
      </c>
      <c r="N82" s="662"/>
      <c r="O82" s="21">
        <f t="shared" si="12"/>
        <v>1</v>
      </c>
      <c r="P82" s="662"/>
      <c r="Q82" s="21">
        <f t="shared" si="13"/>
        <v>0.06</v>
      </c>
      <c r="R82" s="659">
        <f t="shared" si="14"/>
        <v>0</v>
      </c>
      <c r="S82" s="316">
        <f t="shared" si="5"/>
        <v>0</v>
      </c>
    </row>
    <row r="83" spans="1:21">
      <c r="A83" s="3623">
        <f>'商办车库-新'!E280</f>
        <v>201</v>
      </c>
      <c r="B83" s="3623"/>
      <c r="C83" s="21">
        <f t="shared" si="6"/>
        <v>1</v>
      </c>
      <c r="D83" s="662"/>
      <c r="E83" s="21">
        <f t="shared" si="7"/>
        <v>1</v>
      </c>
      <c r="F83" s="662"/>
      <c r="G83" s="21">
        <f t="shared" si="8"/>
        <v>1</v>
      </c>
      <c r="H83" s="662"/>
      <c r="I83" s="21">
        <f t="shared" si="9"/>
        <v>1</v>
      </c>
      <c r="J83" s="662"/>
      <c r="K83" s="21">
        <f t="shared" si="10"/>
        <v>1</v>
      </c>
      <c r="L83" s="662"/>
      <c r="M83" s="21">
        <f t="shared" si="11"/>
        <v>1</v>
      </c>
      <c r="N83" s="662"/>
      <c r="O83" s="21">
        <f t="shared" si="12"/>
        <v>1</v>
      </c>
      <c r="P83" s="2795" t="s">
        <v>4206</v>
      </c>
      <c r="Q83" s="21">
        <f t="shared" si="13"/>
        <v>1</v>
      </c>
      <c r="R83" s="659">
        <f t="shared" si="14"/>
        <v>0</v>
      </c>
      <c r="S83" s="316">
        <f t="shared" si="5"/>
        <v>0</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6"/>
        <v>1</v>
      </c>
      <c r="D84" s="662"/>
      <c r="E84" s="21">
        <f t="shared" si="7"/>
        <v>1</v>
      </c>
      <c r="F84" s="662"/>
      <c r="G84" s="21">
        <f t="shared" si="8"/>
        <v>1</v>
      </c>
      <c r="H84" s="662"/>
      <c r="I84" s="21">
        <f t="shared" si="9"/>
        <v>1</v>
      </c>
      <c r="J84" s="662"/>
      <c r="K84" s="21">
        <f t="shared" si="10"/>
        <v>1</v>
      </c>
      <c r="L84" s="662"/>
      <c r="M84" s="21">
        <f t="shared" si="11"/>
        <v>1</v>
      </c>
      <c r="N84" s="662"/>
      <c r="O84" s="21">
        <f t="shared" si="12"/>
        <v>1</v>
      </c>
      <c r="P84" s="2795" t="s">
        <v>4206</v>
      </c>
      <c r="Q84" s="21">
        <f t="shared" si="13"/>
        <v>1</v>
      </c>
      <c r="R84" s="659">
        <f t="shared" ca="1" si="14"/>
        <v>22388</v>
      </c>
      <c r="S84" s="316">
        <f t="shared" ca="1" si="5"/>
        <v>3397</v>
      </c>
      <c r="T84" s="720" t="str">
        <f>'商办车库-新'!H281</f>
        <v>办公</v>
      </c>
    </row>
    <row r="85" spans="1:21">
      <c r="A85" s="2408">
        <f>'商办车库-新'!E282</f>
        <v>401</v>
      </c>
      <c r="B85" s="2408">
        <f>'商办车库-新'!F282</f>
        <v>1517.54</v>
      </c>
      <c r="C85" s="21">
        <f t="shared" si="6"/>
        <v>1</v>
      </c>
      <c r="D85" s="662"/>
      <c r="E85" s="21">
        <f t="shared" si="7"/>
        <v>1</v>
      </c>
      <c r="F85" s="662"/>
      <c r="G85" s="21">
        <f t="shared" si="8"/>
        <v>1</v>
      </c>
      <c r="H85" s="662"/>
      <c r="I85" s="21">
        <f t="shared" si="9"/>
        <v>1</v>
      </c>
      <c r="J85" s="662"/>
      <c r="K85" s="21">
        <f t="shared" si="10"/>
        <v>1</v>
      </c>
      <c r="L85" s="662"/>
      <c r="M85" s="21">
        <f t="shared" si="11"/>
        <v>1</v>
      </c>
      <c r="N85" s="662"/>
      <c r="O85" s="21">
        <f t="shared" si="12"/>
        <v>1</v>
      </c>
      <c r="P85" s="2795" t="s">
        <v>4206</v>
      </c>
      <c r="Q85" s="21">
        <f t="shared" si="13"/>
        <v>1</v>
      </c>
      <c r="R85" s="659">
        <f t="shared" ca="1" si="14"/>
        <v>22388</v>
      </c>
      <c r="S85" s="316">
        <f t="shared" ca="1" si="5"/>
        <v>3397</v>
      </c>
      <c r="T85" s="720" t="str">
        <f>'商办车库-新'!H282</f>
        <v>办公</v>
      </c>
    </row>
    <row r="86" spans="1:21">
      <c r="A86" s="2408">
        <f>'商办车库-新'!E283</f>
        <v>501</v>
      </c>
      <c r="B86" s="2408">
        <f>'商办车库-新'!F283</f>
        <v>1517.54</v>
      </c>
      <c r="C86" s="21">
        <f t="shared" si="6"/>
        <v>1</v>
      </c>
      <c r="D86" s="662"/>
      <c r="E86" s="21">
        <f t="shared" si="7"/>
        <v>1</v>
      </c>
      <c r="F86" s="662"/>
      <c r="G86" s="21">
        <f t="shared" si="8"/>
        <v>1</v>
      </c>
      <c r="H86" s="662"/>
      <c r="I86" s="21">
        <f t="shared" si="9"/>
        <v>1</v>
      </c>
      <c r="J86" s="662"/>
      <c r="K86" s="21">
        <f t="shared" si="10"/>
        <v>1</v>
      </c>
      <c r="L86" s="662"/>
      <c r="M86" s="21">
        <f t="shared" si="11"/>
        <v>1</v>
      </c>
      <c r="N86" s="662"/>
      <c r="O86" s="21">
        <f t="shared" si="12"/>
        <v>1</v>
      </c>
      <c r="P86" s="2795" t="s">
        <v>4206</v>
      </c>
      <c r="Q86" s="21">
        <f t="shared" si="13"/>
        <v>1</v>
      </c>
      <c r="R86" s="659">
        <f t="shared" ca="1" si="14"/>
        <v>22388</v>
      </c>
      <c r="S86" s="316">
        <f t="shared" ca="1" si="5"/>
        <v>3397</v>
      </c>
      <c r="T86" s="720" t="str">
        <f>'商办车库-新'!H283</f>
        <v>办公</v>
      </c>
    </row>
    <row r="87" spans="1:21">
      <c r="A87" s="2408">
        <f>'商办车库-新'!E284</f>
        <v>601</v>
      </c>
      <c r="B87" s="2408">
        <f>'商办车库-新'!F284</f>
        <v>1517.54</v>
      </c>
      <c r="C87" s="21">
        <f t="shared" si="6"/>
        <v>1</v>
      </c>
      <c r="D87" s="662"/>
      <c r="E87" s="21">
        <f t="shared" si="7"/>
        <v>1</v>
      </c>
      <c r="F87" s="662"/>
      <c r="G87" s="21">
        <f t="shared" si="8"/>
        <v>1</v>
      </c>
      <c r="H87" s="662"/>
      <c r="I87" s="21">
        <f t="shared" si="9"/>
        <v>1</v>
      </c>
      <c r="J87" s="662"/>
      <c r="K87" s="21">
        <f t="shared" si="10"/>
        <v>1</v>
      </c>
      <c r="L87" s="662"/>
      <c r="M87" s="21">
        <f t="shared" si="11"/>
        <v>1</v>
      </c>
      <c r="N87" s="662"/>
      <c r="O87" s="21">
        <f t="shared" si="12"/>
        <v>1</v>
      </c>
      <c r="P87" s="2795" t="s">
        <v>4206</v>
      </c>
      <c r="Q87" s="21">
        <f t="shared" si="13"/>
        <v>1</v>
      </c>
      <c r="R87" s="659">
        <f t="shared" ca="1" si="14"/>
        <v>22388</v>
      </c>
      <c r="S87" s="316">
        <f t="shared" ca="1" si="5"/>
        <v>3397</v>
      </c>
      <c r="T87" s="720" t="str">
        <f>'商办车库-新'!H284</f>
        <v>办公</v>
      </c>
    </row>
    <row r="88" spans="1:21">
      <c r="A88" s="2408">
        <f>'商办车库-新'!E285</f>
        <v>701</v>
      </c>
      <c r="B88" s="2408">
        <f>'商办车库-新'!F285</f>
        <v>1517.54</v>
      </c>
      <c r="C88" s="21">
        <f t="shared" si="6"/>
        <v>1</v>
      </c>
      <c r="D88" s="662"/>
      <c r="E88" s="21">
        <f t="shared" si="7"/>
        <v>1</v>
      </c>
      <c r="F88" s="662"/>
      <c r="G88" s="21">
        <f t="shared" si="8"/>
        <v>1</v>
      </c>
      <c r="H88" s="662"/>
      <c r="I88" s="21">
        <f t="shared" si="9"/>
        <v>1</v>
      </c>
      <c r="J88" s="662"/>
      <c r="K88" s="21">
        <f t="shared" si="10"/>
        <v>1</v>
      </c>
      <c r="L88" s="662"/>
      <c r="M88" s="21">
        <f t="shared" si="11"/>
        <v>1</v>
      </c>
      <c r="N88" s="662"/>
      <c r="O88" s="21">
        <f t="shared" si="12"/>
        <v>1</v>
      </c>
      <c r="P88" s="662" t="s">
        <v>4204</v>
      </c>
      <c r="Q88" s="21">
        <f t="shared" si="13"/>
        <v>1.03</v>
      </c>
      <c r="R88" s="659">
        <f t="shared" ca="1" si="14"/>
        <v>23060</v>
      </c>
      <c r="S88" s="316">
        <f t="shared" ref="S88:S151" ca="1" si="15">ROUND(R88*B88/10000,0)</f>
        <v>3499</v>
      </c>
      <c r="T88" s="720" t="str">
        <f>'商办车库-新'!H285</f>
        <v>办公</v>
      </c>
    </row>
    <row r="89" spans="1:21">
      <c r="A89" s="2408">
        <f>'商办车库-新'!E286</f>
        <v>801</v>
      </c>
      <c r="B89" s="2408">
        <f>'商办车库-新'!F286</f>
        <v>1517.54</v>
      </c>
      <c r="C89" s="21">
        <f t="shared" si="6"/>
        <v>1</v>
      </c>
      <c r="D89" s="662"/>
      <c r="E89" s="21">
        <f t="shared" si="7"/>
        <v>1</v>
      </c>
      <c r="F89" s="662"/>
      <c r="G89" s="21">
        <f t="shared" si="8"/>
        <v>1</v>
      </c>
      <c r="H89" s="662"/>
      <c r="I89" s="21">
        <f t="shared" si="9"/>
        <v>1</v>
      </c>
      <c r="J89" s="662"/>
      <c r="K89" s="21">
        <f t="shared" si="10"/>
        <v>1</v>
      </c>
      <c r="L89" s="662"/>
      <c r="M89" s="21">
        <f t="shared" si="11"/>
        <v>1</v>
      </c>
      <c r="N89" s="662"/>
      <c r="O89" s="21">
        <f t="shared" si="12"/>
        <v>1</v>
      </c>
      <c r="P89" s="662" t="s">
        <v>4204</v>
      </c>
      <c r="Q89" s="21">
        <f t="shared" si="13"/>
        <v>1.03</v>
      </c>
      <c r="R89" s="659">
        <f t="shared" ca="1" si="14"/>
        <v>23060</v>
      </c>
      <c r="S89" s="316">
        <f t="shared" ca="1" si="15"/>
        <v>3499</v>
      </c>
      <c r="T89" s="720" t="str">
        <f>'商办车库-新'!H286</f>
        <v>办公</v>
      </c>
    </row>
    <row r="90" spans="1:21">
      <c r="A90" s="2408">
        <f>'商办车库-新'!E287</f>
        <v>901</v>
      </c>
      <c r="B90" s="2408">
        <f>'商办车库-新'!F287</f>
        <v>1517.54</v>
      </c>
      <c r="C90" s="21">
        <f t="shared" ref="C90:C153" si="16">IF(B90="",1,(LOOKUP(B90,$3:$3,$4:$4)-LOOKUP($B$24,$3:$3,$4:$4)+100)/100)</f>
        <v>1</v>
      </c>
      <c r="D90" s="662"/>
      <c r="E90" s="21">
        <f t="shared" ref="E90:E153" si="17">(SUMIF($5:$5,D90,$6:$6)-SUMIF($5:$5,$D$24,$6:$6)+100)/100</f>
        <v>1</v>
      </c>
      <c r="F90" s="662"/>
      <c r="G90" s="21">
        <f t="shared" ref="G90:G153" si="18">(SUMIF($7:$7,F90,$8:$8)-SUMIF($7:$7,$F$24,$8:$8)+100)/100</f>
        <v>1</v>
      </c>
      <c r="H90" s="662"/>
      <c r="I90" s="21">
        <f t="shared" ref="I90:I153" si="19">(SUMIF($9:$9,H90,$10:$10)-SUMIF($9:$9,$H$24,$10:$10)+100)/100</f>
        <v>1</v>
      </c>
      <c r="J90" s="662"/>
      <c r="K90" s="21">
        <f t="shared" ref="K90:K153" si="20">(SUMIF($11:$11,J90,$12:$12)-SUMIF($11:$11,$J$24,$12:$12)+100)/100</f>
        <v>1</v>
      </c>
      <c r="L90" s="662"/>
      <c r="M90" s="21">
        <f t="shared" ref="M90:M153" si="21">(SUMIF($13:$13,L90,$14:$14)-SUMIF($13:$13,$L$24,$14:$14)+100)/100</f>
        <v>1</v>
      </c>
      <c r="N90" s="662"/>
      <c r="O90" s="21">
        <f t="shared" ref="O90:O153" si="22">(SUMIF($15:$15,N90,$16:$16)-SUMIF($15:$15,$N$24,$16:$16)+100)/100</f>
        <v>1</v>
      </c>
      <c r="P90" s="662" t="s">
        <v>4204</v>
      </c>
      <c r="Q90" s="21">
        <f t="shared" ref="Q90:Q153" si="23">(SUMIF($17:$17,P90,$18:$18)-SUMIF($17:$17,$P$24,$18:$18)+100)/100</f>
        <v>1.03</v>
      </c>
      <c r="R90" s="659">
        <f t="shared" ref="R90:R153" ca="1" si="24">IF(B90="",0,ROUND($R$24*C90*E90*G90*I90*K90*M90*O90*Q90,0))</f>
        <v>23060</v>
      </c>
      <c r="S90" s="316">
        <f t="shared" ca="1" si="15"/>
        <v>3499</v>
      </c>
      <c r="T90" s="720" t="str">
        <f>'商办车库-新'!H287</f>
        <v>办公</v>
      </c>
    </row>
    <row r="91" spans="1:21">
      <c r="A91" s="2408">
        <f>'商办车库-新'!E288</f>
        <v>1001</v>
      </c>
      <c r="B91" s="2408">
        <f>'商办车库-新'!F288</f>
        <v>1517.54</v>
      </c>
      <c r="C91" s="21">
        <f t="shared" si="16"/>
        <v>1</v>
      </c>
      <c r="D91" s="662"/>
      <c r="E91" s="21">
        <f t="shared" si="17"/>
        <v>1</v>
      </c>
      <c r="F91" s="662"/>
      <c r="G91" s="21">
        <f t="shared" si="18"/>
        <v>1</v>
      </c>
      <c r="H91" s="662"/>
      <c r="I91" s="21">
        <f t="shared" si="19"/>
        <v>1</v>
      </c>
      <c r="J91" s="662"/>
      <c r="K91" s="21">
        <f t="shared" si="20"/>
        <v>1</v>
      </c>
      <c r="L91" s="662"/>
      <c r="M91" s="21">
        <f t="shared" si="21"/>
        <v>1</v>
      </c>
      <c r="N91" s="662"/>
      <c r="O91" s="21">
        <f t="shared" si="22"/>
        <v>1</v>
      </c>
      <c r="P91" s="662" t="s">
        <v>4204</v>
      </c>
      <c r="Q91" s="21">
        <f t="shared" si="23"/>
        <v>1.03</v>
      </c>
      <c r="R91" s="659">
        <f t="shared" ca="1" si="24"/>
        <v>23060</v>
      </c>
      <c r="S91" s="316">
        <f t="shared" ca="1" si="15"/>
        <v>3499</v>
      </c>
      <c r="T91" s="720" t="str">
        <f>'商办车库-新'!H288</f>
        <v>办公</v>
      </c>
    </row>
    <row r="92" spans="1:21">
      <c r="A92" s="2408">
        <f>'商办车库-新'!E289</f>
        <v>1101</v>
      </c>
      <c r="B92" s="2408">
        <f>'商办车库-新'!F289</f>
        <v>1517.54</v>
      </c>
      <c r="C92" s="21">
        <f t="shared" si="16"/>
        <v>1</v>
      </c>
      <c r="D92" s="662"/>
      <c r="E92" s="21">
        <f t="shared" si="17"/>
        <v>1</v>
      </c>
      <c r="F92" s="662"/>
      <c r="G92" s="21">
        <f t="shared" si="18"/>
        <v>1</v>
      </c>
      <c r="H92" s="662"/>
      <c r="I92" s="21">
        <f t="shared" si="19"/>
        <v>1</v>
      </c>
      <c r="J92" s="662"/>
      <c r="K92" s="21">
        <f t="shared" si="20"/>
        <v>1</v>
      </c>
      <c r="L92" s="662"/>
      <c r="M92" s="21">
        <f t="shared" si="21"/>
        <v>1</v>
      </c>
      <c r="N92" s="662"/>
      <c r="O92" s="21">
        <f t="shared" si="22"/>
        <v>1</v>
      </c>
      <c r="P92" s="662" t="s">
        <v>4204</v>
      </c>
      <c r="Q92" s="21">
        <f t="shared" si="23"/>
        <v>1.03</v>
      </c>
      <c r="R92" s="659">
        <f t="shared" ca="1" si="24"/>
        <v>23060</v>
      </c>
      <c r="S92" s="316">
        <f t="shared" ca="1" si="15"/>
        <v>3499</v>
      </c>
      <c r="T92" s="720" t="str">
        <f>'商办车库-新'!H289</f>
        <v>办公</v>
      </c>
    </row>
    <row r="93" spans="1:21">
      <c r="A93" s="2408">
        <f>'商办车库-新'!E290</f>
        <v>1201</v>
      </c>
      <c r="B93" s="2408">
        <f>'商办车库-新'!F290</f>
        <v>1517.54</v>
      </c>
      <c r="C93" s="21">
        <f t="shared" si="16"/>
        <v>1</v>
      </c>
      <c r="D93" s="662"/>
      <c r="E93" s="21">
        <f t="shared" si="17"/>
        <v>1</v>
      </c>
      <c r="F93" s="662"/>
      <c r="G93" s="21">
        <f t="shared" si="18"/>
        <v>1</v>
      </c>
      <c r="H93" s="662"/>
      <c r="I93" s="21">
        <f t="shared" si="19"/>
        <v>1</v>
      </c>
      <c r="J93" s="662"/>
      <c r="K93" s="21">
        <f t="shared" si="20"/>
        <v>1</v>
      </c>
      <c r="L93" s="662"/>
      <c r="M93" s="21">
        <f t="shared" si="21"/>
        <v>1</v>
      </c>
      <c r="N93" s="662"/>
      <c r="O93" s="21">
        <f t="shared" si="22"/>
        <v>1</v>
      </c>
      <c r="P93" s="662" t="s">
        <v>4204</v>
      </c>
      <c r="Q93" s="21">
        <f t="shared" si="23"/>
        <v>1.03</v>
      </c>
      <c r="R93" s="659">
        <f t="shared" ca="1" si="24"/>
        <v>23060</v>
      </c>
      <c r="S93" s="316">
        <f t="shared" ca="1" si="15"/>
        <v>3499</v>
      </c>
      <c r="T93" s="720" t="str">
        <f>'商办车库-新'!H290</f>
        <v>办公</v>
      </c>
    </row>
    <row r="94" spans="1:21">
      <c r="A94" s="2408">
        <f>'商办车库-新'!E291</f>
        <v>1301</v>
      </c>
      <c r="B94" s="2408">
        <f>'商办车库-新'!F291</f>
        <v>1517.54</v>
      </c>
      <c r="C94" s="21">
        <f t="shared" si="16"/>
        <v>1</v>
      </c>
      <c r="D94" s="662"/>
      <c r="E94" s="21">
        <f t="shared" si="17"/>
        <v>1</v>
      </c>
      <c r="F94" s="662"/>
      <c r="G94" s="21">
        <f t="shared" si="18"/>
        <v>1</v>
      </c>
      <c r="H94" s="662"/>
      <c r="I94" s="21">
        <f t="shared" si="19"/>
        <v>1</v>
      </c>
      <c r="J94" s="662"/>
      <c r="K94" s="21">
        <f t="shared" si="20"/>
        <v>1</v>
      </c>
      <c r="L94" s="662"/>
      <c r="M94" s="21">
        <f t="shared" si="21"/>
        <v>1</v>
      </c>
      <c r="N94" s="662"/>
      <c r="O94" s="21">
        <f t="shared" si="22"/>
        <v>1</v>
      </c>
      <c r="P94" s="2795" t="s">
        <v>4202</v>
      </c>
      <c r="Q94" s="21">
        <f t="shared" si="23"/>
        <v>1.06</v>
      </c>
      <c r="R94" s="659">
        <f t="shared" ca="1" si="24"/>
        <v>23731</v>
      </c>
      <c r="S94" s="316">
        <f t="shared" ca="1" si="15"/>
        <v>3601</v>
      </c>
      <c r="T94" s="720" t="str">
        <f>'商办车库-新'!H291</f>
        <v>办公</v>
      </c>
    </row>
    <row r="95" spans="1:21">
      <c r="A95" s="2408">
        <f>'商办车库-新'!E292</f>
        <v>1401</v>
      </c>
      <c r="B95" s="2408">
        <f>'商办车库-新'!F292</f>
        <v>1517.54</v>
      </c>
      <c r="C95" s="21">
        <f t="shared" si="16"/>
        <v>1</v>
      </c>
      <c r="D95" s="662"/>
      <c r="E95" s="21">
        <f t="shared" si="17"/>
        <v>1</v>
      </c>
      <c r="F95" s="662"/>
      <c r="G95" s="21">
        <f t="shared" si="18"/>
        <v>1</v>
      </c>
      <c r="H95" s="662"/>
      <c r="I95" s="21">
        <f t="shared" si="19"/>
        <v>1</v>
      </c>
      <c r="J95" s="662"/>
      <c r="K95" s="21">
        <f t="shared" si="20"/>
        <v>1</v>
      </c>
      <c r="L95" s="662"/>
      <c r="M95" s="21">
        <f t="shared" si="21"/>
        <v>1</v>
      </c>
      <c r="N95" s="662"/>
      <c r="O95" s="21">
        <f t="shared" si="22"/>
        <v>1</v>
      </c>
      <c r="P95" s="2795" t="s">
        <v>4202</v>
      </c>
      <c r="Q95" s="21">
        <f t="shared" si="23"/>
        <v>1.06</v>
      </c>
      <c r="R95" s="659">
        <f t="shared" ca="1" si="24"/>
        <v>23731</v>
      </c>
      <c r="S95" s="316">
        <f t="shared" ca="1" si="15"/>
        <v>3601</v>
      </c>
      <c r="T95" s="720" t="str">
        <f>'商办车库-新'!H292</f>
        <v>办公</v>
      </c>
    </row>
    <row r="96" spans="1:21">
      <c r="A96" s="2408">
        <f>'商办车库-新'!E293</f>
        <v>1501</v>
      </c>
      <c r="B96" s="2408">
        <f>'商办车库-新'!F293</f>
        <v>1429.6</v>
      </c>
      <c r="C96" s="21">
        <f t="shared" si="16"/>
        <v>1</v>
      </c>
      <c r="D96" s="662"/>
      <c r="E96" s="21">
        <f t="shared" si="17"/>
        <v>1</v>
      </c>
      <c r="F96" s="662"/>
      <c r="G96" s="21">
        <f t="shared" si="18"/>
        <v>1</v>
      </c>
      <c r="H96" s="662"/>
      <c r="I96" s="21">
        <f t="shared" si="19"/>
        <v>1</v>
      </c>
      <c r="J96" s="662"/>
      <c r="K96" s="21">
        <f t="shared" si="20"/>
        <v>1</v>
      </c>
      <c r="L96" s="662"/>
      <c r="M96" s="21">
        <f t="shared" si="21"/>
        <v>1</v>
      </c>
      <c r="N96" s="662"/>
      <c r="O96" s="21">
        <f t="shared" si="22"/>
        <v>1</v>
      </c>
      <c r="P96" s="2795" t="s">
        <v>4202</v>
      </c>
      <c r="Q96" s="21">
        <f t="shared" si="23"/>
        <v>1.06</v>
      </c>
      <c r="R96" s="659">
        <f t="shared" ca="1" si="24"/>
        <v>23731</v>
      </c>
      <c r="S96" s="316">
        <f t="shared" ca="1" si="15"/>
        <v>3393</v>
      </c>
      <c r="T96" s="720" t="str">
        <f>'商办车库-新'!H293</f>
        <v>办公</v>
      </c>
    </row>
    <row r="97" spans="1:20">
      <c r="A97" s="2408">
        <f>'商办车库-新'!E294</f>
        <v>1601</v>
      </c>
      <c r="B97" s="2408">
        <f>'商办车库-新'!F294</f>
        <v>1517.54</v>
      </c>
      <c r="C97" s="21">
        <f t="shared" si="16"/>
        <v>1</v>
      </c>
      <c r="D97" s="662"/>
      <c r="E97" s="21">
        <f t="shared" si="17"/>
        <v>1</v>
      </c>
      <c r="F97" s="662"/>
      <c r="G97" s="21">
        <f t="shared" si="18"/>
        <v>1</v>
      </c>
      <c r="H97" s="662"/>
      <c r="I97" s="21">
        <f t="shared" si="19"/>
        <v>1</v>
      </c>
      <c r="J97" s="662"/>
      <c r="K97" s="21">
        <f t="shared" si="20"/>
        <v>1</v>
      </c>
      <c r="L97" s="662"/>
      <c r="M97" s="21">
        <f t="shared" si="21"/>
        <v>1</v>
      </c>
      <c r="N97" s="662"/>
      <c r="O97" s="21">
        <f t="shared" si="22"/>
        <v>1</v>
      </c>
      <c r="P97" s="2795" t="s">
        <v>4202</v>
      </c>
      <c r="Q97" s="21">
        <f t="shared" si="23"/>
        <v>1.06</v>
      </c>
      <c r="R97" s="659">
        <f t="shared" ca="1" si="24"/>
        <v>23731</v>
      </c>
      <c r="S97" s="316">
        <f t="shared" ca="1" si="15"/>
        <v>3601</v>
      </c>
      <c r="T97" s="720" t="str">
        <f>'商办车库-新'!H294</f>
        <v>办公</v>
      </c>
    </row>
    <row r="98" spans="1:20">
      <c r="A98" s="2408">
        <f>'商办车库-新'!E295</f>
        <v>1701</v>
      </c>
      <c r="B98" s="2408">
        <f>'商办车库-新'!F295</f>
        <v>1517.54</v>
      </c>
      <c r="C98" s="21">
        <f t="shared" si="16"/>
        <v>1</v>
      </c>
      <c r="D98" s="662"/>
      <c r="E98" s="21">
        <f t="shared" si="17"/>
        <v>1</v>
      </c>
      <c r="F98" s="662"/>
      <c r="G98" s="21">
        <f t="shared" si="18"/>
        <v>1</v>
      </c>
      <c r="H98" s="662"/>
      <c r="I98" s="21">
        <f t="shared" si="19"/>
        <v>1</v>
      </c>
      <c r="J98" s="662"/>
      <c r="K98" s="21">
        <f t="shared" si="20"/>
        <v>1</v>
      </c>
      <c r="L98" s="662"/>
      <c r="M98" s="21">
        <f t="shared" si="21"/>
        <v>1</v>
      </c>
      <c r="N98" s="662"/>
      <c r="O98" s="21">
        <f t="shared" si="22"/>
        <v>1</v>
      </c>
      <c r="P98" s="2795" t="s">
        <v>4202</v>
      </c>
      <c r="Q98" s="21">
        <f t="shared" si="23"/>
        <v>1.06</v>
      </c>
      <c r="R98" s="659">
        <f t="shared" ca="1" si="24"/>
        <v>23731</v>
      </c>
      <c r="S98" s="316">
        <f t="shared" ca="1" si="15"/>
        <v>3601</v>
      </c>
      <c r="T98" s="720" t="str">
        <f>'商办车库-新'!H295</f>
        <v>办公</v>
      </c>
    </row>
    <row r="99" spans="1:20">
      <c r="A99" s="2408">
        <f>'商办车库-新'!E296</f>
        <v>1801</v>
      </c>
      <c r="B99" s="2408">
        <f>'商办车库-新'!F296</f>
        <v>1517.54</v>
      </c>
      <c r="C99" s="21">
        <f t="shared" si="16"/>
        <v>1</v>
      </c>
      <c r="D99" s="662"/>
      <c r="E99" s="21">
        <f t="shared" si="17"/>
        <v>1</v>
      </c>
      <c r="F99" s="662"/>
      <c r="G99" s="21">
        <f t="shared" si="18"/>
        <v>1</v>
      </c>
      <c r="H99" s="662"/>
      <c r="I99" s="21">
        <f t="shared" si="19"/>
        <v>1</v>
      </c>
      <c r="J99" s="662"/>
      <c r="K99" s="21">
        <f t="shared" si="20"/>
        <v>1</v>
      </c>
      <c r="L99" s="662"/>
      <c r="M99" s="21">
        <f t="shared" si="21"/>
        <v>1</v>
      </c>
      <c r="N99" s="662"/>
      <c r="O99" s="21">
        <f t="shared" si="22"/>
        <v>1</v>
      </c>
      <c r="P99" s="2795" t="s">
        <v>4202</v>
      </c>
      <c r="Q99" s="21">
        <f t="shared" si="23"/>
        <v>1.06</v>
      </c>
      <c r="R99" s="659">
        <f t="shared" ca="1" si="24"/>
        <v>23731</v>
      </c>
      <c r="S99" s="316">
        <f t="shared" ca="1" si="15"/>
        <v>3601</v>
      </c>
      <c r="T99" s="720" t="str">
        <f>'商办车库-新'!H296</f>
        <v>办公</v>
      </c>
    </row>
    <row r="100" spans="1:20">
      <c r="A100" s="2408"/>
      <c r="B100" s="2408"/>
      <c r="C100" s="21">
        <f t="shared" si="16"/>
        <v>1</v>
      </c>
      <c r="D100" s="662"/>
      <c r="E100" s="21">
        <f t="shared" si="17"/>
        <v>1</v>
      </c>
      <c r="F100" s="662"/>
      <c r="G100" s="21">
        <f t="shared" si="18"/>
        <v>1</v>
      </c>
      <c r="H100" s="662"/>
      <c r="I100" s="21">
        <f t="shared" si="19"/>
        <v>1</v>
      </c>
      <c r="J100" s="662"/>
      <c r="K100" s="21">
        <f t="shared" si="20"/>
        <v>1</v>
      </c>
      <c r="L100" s="662"/>
      <c r="M100" s="21">
        <f t="shared" si="21"/>
        <v>1</v>
      </c>
      <c r="N100" s="662"/>
      <c r="O100" s="21">
        <f t="shared" si="22"/>
        <v>1</v>
      </c>
      <c r="P100" s="662"/>
      <c r="Q100" s="21">
        <f t="shared" si="23"/>
        <v>0.06</v>
      </c>
      <c r="R100" s="659">
        <f t="shared" si="24"/>
        <v>0</v>
      </c>
      <c r="S100" s="316">
        <f t="shared" si="15"/>
        <v>0</v>
      </c>
    </row>
    <row r="101" spans="1:20">
      <c r="A101" s="2408"/>
      <c r="B101" s="2408"/>
      <c r="C101" s="21">
        <f t="shared" si="16"/>
        <v>1</v>
      </c>
      <c r="D101" s="662"/>
      <c r="E101" s="21">
        <f t="shared" si="17"/>
        <v>1</v>
      </c>
      <c r="F101" s="662"/>
      <c r="G101" s="21">
        <f t="shared" si="18"/>
        <v>1</v>
      </c>
      <c r="H101" s="662"/>
      <c r="I101" s="21">
        <f t="shared" si="19"/>
        <v>1</v>
      </c>
      <c r="J101" s="662"/>
      <c r="K101" s="21">
        <f t="shared" si="20"/>
        <v>1</v>
      </c>
      <c r="L101" s="662"/>
      <c r="M101" s="21">
        <f t="shared" si="21"/>
        <v>1</v>
      </c>
      <c r="N101" s="662"/>
      <c r="O101" s="21">
        <f t="shared" si="22"/>
        <v>1</v>
      </c>
      <c r="P101" s="662"/>
      <c r="Q101" s="21">
        <f t="shared" si="23"/>
        <v>0.06</v>
      </c>
      <c r="R101" s="659">
        <f t="shared" si="24"/>
        <v>0</v>
      </c>
      <c r="S101" s="316">
        <f t="shared" si="15"/>
        <v>0</v>
      </c>
    </row>
    <row r="102" spans="1:20">
      <c r="A102" s="2408"/>
      <c r="B102" s="2408"/>
      <c r="C102" s="21">
        <f t="shared" si="16"/>
        <v>1</v>
      </c>
      <c r="D102" s="662"/>
      <c r="E102" s="21">
        <f t="shared" si="17"/>
        <v>1</v>
      </c>
      <c r="F102" s="662"/>
      <c r="G102" s="21">
        <f t="shared" si="18"/>
        <v>1</v>
      </c>
      <c r="H102" s="662"/>
      <c r="I102" s="21">
        <f t="shared" si="19"/>
        <v>1</v>
      </c>
      <c r="J102" s="662"/>
      <c r="K102" s="21">
        <f t="shared" si="20"/>
        <v>1</v>
      </c>
      <c r="L102" s="662"/>
      <c r="M102" s="21">
        <f t="shared" si="21"/>
        <v>1</v>
      </c>
      <c r="N102" s="662"/>
      <c r="O102" s="21">
        <f t="shared" si="22"/>
        <v>1</v>
      </c>
      <c r="P102" s="662"/>
      <c r="Q102" s="21">
        <f t="shared" si="23"/>
        <v>0.06</v>
      </c>
      <c r="R102" s="659">
        <f t="shared" si="24"/>
        <v>0</v>
      </c>
      <c r="S102" s="316">
        <f t="shared" si="15"/>
        <v>0</v>
      </c>
    </row>
    <row r="103" spans="1:20">
      <c r="A103" s="2408"/>
      <c r="B103" s="2408"/>
      <c r="C103" s="21">
        <f t="shared" si="16"/>
        <v>1</v>
      </c>
      <c r="D103" s="662"/>
      <c r="E103" s="21">
        <f t="shared" si="17"/>
        <v>1</v>
      </c>
      <c r="F103" s="662"/>
      <c r="G103" s="21">
        <f t="shared" si="18"/>
        <v>1</v>
      </c>
      <c r="H103" s="662"/>
      <c r="I103" s="21">
        <f t="shared" si="19"/>
        <v>1</v>
      </c>
      <c r="J103" s="662"/>
      <c r="K103" s="21">
        <f t="shared" si="20"/>
        <v>1</v>
      </c>
      <c r="L103" s="662"/>
      <c r="M103" s="21">
        <f t="shared" si="21"/>
        <v>1</v>
      </c>
      <c r="N103" s="662"/>
      <c r="O103" s="21">
        <f t="shared" si="22"/>
        <v>1</v>
      </c>
      <c r="P103" s="662"/>
      <c r="Q103" s="21">
        <f t="shared" si="23"/>
        <v>0.06</v>
      </c>
      <c r="R103" s="659">
        <f t="shared" si="24"/>
        <v>0</v>
      </c>
      <c r="S103" s="316">
        <f t="shared" si="15"/>
        <v>0</v>
      </c>
    </row>
    <row r="104" spans="1:20">
      <c r="A104" s="150"/>
      <c r="B104" s="54"/>
      <c r="C104" s="21">
        <f t="shared" si="16"/>
        <v>1</v>
      </c>
      <c r="D104" s="662"/>
      <c r="E104" s="21">
        <f t="shared" si="17"/>
        <v>1</v>
      </c>
      <c r="F104" s="662"/>
      <c r="G104" s="21">
        <f t="shared" si="18"/>
        <v>1</v>
      </c>
      <c r="H104" s="662"/>
      <c r="I104" s="21">
        <f t="shared" si="19"/>
        <v>1</v>
      </c>
      <c r="J104" s="662"/>
      <c r="K104" s="21">
        <f t="shared" si="20"/>
        <v>1</v>
      </c>
      <c r="L104" s="662"/>
      <c r="M104" s="21">
        <f t="shared" si="21"/>
        <v>1</v>
      </c>
      <c r="N104" s="662"/>
      <c r="O104" s="21">
        <f t="shared" si="22"/>
        <v>1</v>
      </c>
      <c r="P104" s="662"/>
      <c r="Q104" s="21">
        <f t="shared" si="23"/>
        <v>0.06</v>
      </c>
      <c r="R104" s="659">
        <f t="shared" si="24"/>
        <v>0</v>
      </c>
      <c r="S104" s="316">
        <f t="shared" si="15"/>
        <v>0</v>
      </c>
    </row>
    <row r="105" spans="1:20">
      <c r="A105" s="150"/>
      <c r="B105" s="54"/>
      <c r="C105" s="21">
        <f t="shared" si="16"/>
        <v>1</v>
      </c>
      <c r="D105" s="662"/>
      <c r="E105" s="21">
        <f t="shared" si="17"/>
        <v>1</v>
      </c>
      <c r="F105" s="662"/>
      <c r="G105" s="21">
        <f t="shared" si="18"/>
        <v>1</v>
      </c>
      <c r="H105" s="662"/>
      <c r="I105" s="21">
        <f t="shared" si="19"/>
        <v>1</v>
      </c>
      <c r="J105" s="662"/>
      <c r="K105" s="21">
        <f t="shared" si="20"/>
        <v>1</v>
      </c>
      <c r="L105" s="662"/>
      <c r="M105" s="21">
        <f t="shared" si="21"/>
        <v>1</v>
      </c>
      <c r="N105" s="662"/>
      <c r="O105" s="21">
        <f t="shared" si="22"/>
        <v>1</v>
      </c>
      <c r="P105" s="662"/>
      <c r="Q105" s="21">
        <f t="shared" si="23"/>
        <v>0.06</v>
      </c>
      <c r="R105" s="659">
        <f t="shared" si="24"/>
        <v>0</v>
      </c>
      <c r="S105" s="316">
        <f t="shared" si="15"/>
        <v>0</v>
      </c>
    </row>
    <row r="106" spans="1:20">
      <c r="A106" s="150"/>
      <c r="B106" s="54"/>
      <c r="C106" s="21">
        <f t="shared" si="16"/>
        <v>1</v>
      </c>
      <c r="D106" s="662"/>
      <c r="E106" s="21">
        <f t="shared" si="17"/>
        <v>1</v>
      </c>
      <c r="F106" s="662"/>
      <c r="G106" s="21">
        <f t="shared" si="18"/>
        <v>1</v>
      </c>
      <c r="H106" s="662"/>
      <c r="I106" s="21">
        <f t="shared" si="19"/>
        <v>1</v>
      </c>
      <c r="J106" s="662"/>
      <c r="K106" s="21">
        <f t="shared" si="20"/>
        <v>1</v>
      </c>
      <c r="L106" s="662"/>
      <c r="M106" s="21">
        <f t="shared" si="21"/>
        <v>1</v>
      </c>
      <c r="N106" s="662"/>
      <c r="O106" s="21">
        <f t="shared" si="22"/>
        <v>1</v>
      </c>
      <c r="P106" s="662"/>
      <c r="Q106" s="21">
        <f t="shared" si="23"/>
        <v>0.06</v>
      </c>
      <c r="R106" s="659">
        <f t="shared" si="24"/>
        <v>0</v>
      </c>
      <c r="S106" s="316">
        <f t="shared" si="15"/>
        <v>0</v>
      </c>
    </row>
    <row r="107" spans="1:20">
      <c r="A107" s="150"/>
      <c r="B107" s="54"/>
      <c r="C107" s="21">
        <f t="shared" si="16"/>
        <v>1</v>
      </c>
      <c r="D107" s="662"/>
      <c r="E107" s="21">
        <f t="shared" si="17"/>
        <v>1</v>
      </c>
      <c r="F107" s="662"/>
      <c r="G107" s="21">
        <f t="shared" si="18"/>
        <v>1</v>
      </c>
      <c r="H107" s="662"/>
      <c r="I107" s="21">
        <f t="shared" si="19"/>
        <v>1</v>
      </c>
      <c r="J107" s="662"/>
      <c r="K107" s="21">
        <f t="shared" si="20"/>
        <v>1</v>
      </c>
      <c r="L107" s="662"/>
      <c r="M107" s="21">
        <f t="shared" si="21"/>
        <v>1</v>
      </c>
      <c r="N107" s="662"/>
      <c r="O107" s="21">
        <f t="shared" si="22"/>
        <v>1</v>
      </c>
      <c r="P107" s="662"/>
      <c r="Q107" s="21">
        <f t="shared" si="23"/>
        <v>0.06</v>
      </c>
      <c r="R107" s="659">
        <f t="shared" si="24"/>
        <v>0</v>
      </c>
      <c r="S107" s="316">
        <f t="shared" si="15"/>
        <v>0</v>
      </c>
    </row>
    <row r="108" spans="1:20">
      <c r="A108" s="150"/>
      <c r="B108" s="54"/>
      <c r="C108" s="21">
        <f t="shared" si="16"/>
        <v>1</v>
      </c>
      <c r="D108" s="662"/>
      <c r="E108" s="21">
        <f t="shared" si="17"/>
        <v>1</v>
      </c>
      <c r="F108" s="662"/>
      <c r="G108" s="21">
        <f t="shared" si="18"/>
        <v>1</v>
      </c>
      <c r="H108" s="662"/>
      <c r="I108" s="21">
        <f t="shared" si="19"/>
        <v>1</v>
      </c>
      <c r="J108" s="662"/>
      <c r="K108" s="21">
        <f t="shared" si="20"/>
        <v>1</v>
      </c>
      <c r="L108" s="662"/>
      <c r="M108" s="21">
        <f t="shared" si="21"/>
        <v>1</v>
      </c>
      <c r="N108" s="662"/>
      <c r="O108" s="21">
        <f t="shared" si="22"/>
        <v>1</v>
      </c>
      <c r="P108" s="662"/>
      <c r="Q108" s="21">
        <f t="shared" si="23"/>
        <v>0.06</v>
      </c>
      <c r="R108" s="659">
        <f t="shared" si="24"/>
        <v>0</v>
      </c>
      <c r="S108" s="316">
        <f t="shared" si="15"/>
        <v>0</v>
      </c>
    </row>
    <row r="109" spans="1:20">
      <c r="A109" s="150"/>
      <c r="B109" s="54"/>
      <c r="C109" s="21">
        <f t="shared" si="16"/>
        <v>1</v>
      </c>
      <c r="D109" s="662"/>
      <c r="E109" s="21">
        <f t="shared" si="17"/>
        <v>1</v>
      </c>
      <c r="F109" s="662"/>
      <c r="G109" s="21">
        <f t="shared" si="18"/>
        <v>1</v>
      </c>
      <c r="H109" s="662"/>
      <c r="I109" s="21">
        <f t="shared" si="19"/>
        <v>1</v>
      </c>
      <c r="J109" s="662"/>
      <c r="K109" s="21">
        <f t="shared" si="20"/>
        <v>1</v>
      </c>
      <c r="L109" s="662"/>
      <c r="M109" s="21">
        <f t="shared" si="21"/>
        <v>1</v>
      </c>
      <c r="N109" s="662"/>
      <c r="O109" s="21">
        <f t="shared" si="22"/>
        <v>1</v>
      </c>
      <c r="P109" s="662"/>
      <c r="Q109" s="21">
        <f t="shared" si="23"/>
        <v>0.06</v>
      </c>
      <c r="R109" s="659">
        <f t="shared" si="24"/>
        <v>0</v>
      </c>
      <c r="S109" s="316">
        <f t="shared" si="15"/>
        <v>0</v>
      </c>
    </row>
    <row r="110" spans="1:20">
      <c r="A110" s="150"/>
      <c r="B110" s="54"/>
      <c r="C110" s="21">
        <f t="shared" si="16"/>
        <v>1</v>
      </c>
      <c r="D110" s="662"/>
      <c r="E110" s="21">
        <f t="shared" si="17"/>
        <v>1</v>
      </c>
      <c r="F110" s="662"/>
      <c r="G110" s="21">
        <f t="shared" si="18"/>
        <v>1</v>
      </c>
      <c r="H110" s="662"/>
      <c r="I110" s="21">
        <f t="shared" si="19"/>
        <v>1</v>
      </c>
      <c r="J110" s="662"/>
      <c r="K110" s="21">
        <f t="shared" si="20"/>
        <v>1</v>
      </c>
      <c r="L110" s="662"/>
      <c r="M110" s="21">
        <f t="shared" si="21"/>
        <v>1</v>
      </c>
      <c r="N110" s="662"/>
      <c r="O110" s="21">
        <f t="shared" si="22"/>
        <v>1</v>
      </c>
      <c r="P110" s="662"/>
      <c r="Q110" s="21">
        <f t="shared" si="23"/>
        <v>0.06</v>
      </c>
      <c r="R110" s="659">
        <f t="shared" si="24"/>
        <v>0</v>
      </c>
      <c r="S110" s="316">
        <f t="shared" si="15"/>
        <v>0</v>
      </c>
    </row>
    <row r="111" spans="1:20">
      <c r="A111" s="150"/>
      <c r="B111" s="54"/>
      <c r="C111" s="21">
        <f t="shared" si="16"/>
        <v>1</v>
      </c>
      <c r="D111" s="662"/>
      <c r="E111" s="21">
        <f t="shared" si="17"/>
        <v>1</v>
      </c>
      <c r="F111" s="662"/>
      <c r="G111" s="21">
        <f t="shared" si="18"/>
        <v>1</v>
      </c>
      <c r="H111" s="662"/>
      <c r="I111" s="21">
        <f t="shared" si="19"/>
        <v>1</v>
      </c>
      <c r="J111" s="662"/>
      <c r="K111" s="21">
        <f t="shared" si="20"/>
        <v>1</v>
      </c>
      <c r="L111" s="662"/>
      <c r="M111" s="21">
        <f t="shared" si="21"/>
        <v>1</v>
      </c>
      <c r="N111" s="662"/>
      <c r="O111" s="21">
        <f t="shared" si="22"/>
        <v>1</v>
      </c>
      <c r="P111" s="662"/>
      <c r="Q111" s="21">
        <f t="shared" si="23"/>
        <v>0.06</v>
      </c>
      <c r="R111" s="659">
        <f t="shared" si="24"/>
        <v>0</v>
      </c>
      <c r="S111" s="316">
        <f t="shared" si="15"/>
        <v>0</v>
      </c>
    </row>
    <row r="112" spans="1:20">
      <c r="A112" s="150"/>
      <c r="B112" s="54"/>
      <c r="C112" s="21">
        <f t="shared" si="16"/>
        <v>1</v>
      </c>
      <c r="D112" s="662"/>
      <c r="E112" s="21">
        <f t="shared" si="17"/>
        <v>1</v>
      </c>
      <c r="F112" s="662"/>
      <c r="G112" s="21">
        <f t="shared" si="18"/>
        <v>1</v>
      </c>
      <c r="H112" s="662"/>
      <c r="I112" s="21">
        <f t="shared" si="19"/>
        <v>1</v>
      </c>
      <c r="J112" s="662"/>
      <c r="K112" s="21">
        <f t="shared" si="20"/>
        <v>1</v>
      </c>
      <c r="L112" s="662"/>
      <c r="M112" s="21">
        <f t="shared" si="21"/>
        <v>1</v>
      </c>
      <c r="N112" s="662"/>
      <c r="O112" s="21">
        <f t="shared" si="22"/>
        <v>1</v>
      </c>
      <c r="P112" s="662"/>
      <c r="Q112" s="21">
        <f t="shared" si="23"/>
        <v>0.06</v>
      </c>
      <c r="R112" s="659">
        <f t="shared" si="24"/>
        <v>0</v>
      </c>
      <c r="S112" s="316">
        <f t="shared" si="15"/>
        <v>0</v>
      </c>
    </row>
    <row r="113" spans="1:19">
      <c r="A113" s="150"/>
      <c r="B113" s="54"/>
      <c r="C113" s="21">
        <f t="shared" si="16"/>
        <v>1</v>
      </c>
      <c r="D113" s="662"/>
      <c r="E113" s="21">
        <f t="shared" si="17"/>
        <v>1</v>
      </c>
      <c r="F113" s="662"/>
      <c r="G113" s="21">
        <f t="shared" si="18"/>
        <v>1</v>
      </c>
      <c r="H113" s="662"/>
      <c r="I113" s="21">
        <f t="shared" si="19"/>
        <v>1</v>
      </c>
      <c r="J113" s="662"/>
      <c r="K113" s="21">
        <f t="shared" si="20"/>
        <v>1</v>
      </c>
      <c r="L113" s="662"/>
      <c r="M113" s="21">
        <f t="shared" si="21"/>
        <v>1</v>
      </c>
      <c r="N113" s="662"/>
      <c r="O113" s="21">
        <f t="shared" si="22"/>
        <v>1</v>
      </c>
      <c r="P113" s="662"/>
      <c r="Q113" s="21">
        <f t="shared" si="23"/>
        <v>0.06</v>
      </c>
      <c r="R113" s="659">
        <f t="shared" si="24"/>
        <v>0</v>
      </c>
      <c r="S113" s="316">
        <f t="shared" si="15"/>
        <v>0</v>
      </c>
    </row>
    <row r="114" spans="1:19">
      <c r="A114" s="150"/>
      <c r="B114" s="54"/>
      <c r="C114" s="21">
        <f t="shared" si="16"/>
        <v>1</v>
      </c>
      <c r="D114" s="662"/>
      <c r="E114" s="21">
        <f t="shared" si="17"/>
        <v>1</v>
      </c>
      <c r="F114" s="662"/>
      <c r="G114" s="21">
        <f t="shared" si="18"/>
        <v>1</v>
      </c>
      <c r="H114" s="662"/>
      <c r="I114" s="21">
        <f t="shared" si="19"/>
        <v>1</v>
      </c>
      <c r="J114" s="662"/>
      <c r="K114" s="21">
        <f t="shared" si="20"/>
        <v>1</v>
      </c>
      <c r="L114" s="662"/>
      <c r="M114" s="21">
        <f t="shared" si="21"/>
        <v>1</v>
      </c>
      <c r="N114" s="662"/>
      <c r="O114" s="21">
        <f t="shared" si="22"/>
        <v>1</v>
      </c>
      <c r="P114" s="662"/>
      <c r="Q114" s="21">
        <f t="shared" si="23"/>
        <v>0.06</v>
      </c>
      <c r="R114" s="659">
        <f t="shared" si="24"/>
        <v>0</v>
      </c>
      <c r="S114" s="316">
        <f t="shared" si="15"/>
        <v>0</v>
      </c>
    </row>
    <row r="115" spans="1:19">
      <c r="A115" s="150"/>
      <c r="B115" s="54"/>
      <c r="C115" s="21">
        <f t="shared" si="16"/>
        <v>1</v>
      </c>
      <c r="D115" s="662"/>
      <c r="E115" s="21">
        <f t="shared" si="17"/>
        <v>1</v>
      </c>
      <c r="F115" s="662"/>
      <c r="G115" s="21">
        <f t="shared" si="18"/>
        <v>1</v>
      </c>
      <c r="H115" s="662"/>
      <c r="I115" s="21">
        <f t="shared" si="19"/>
        <v>1</v>
      </c>
      <c r="J115" s="662"/>
      <c r="K115" s="21">
        <f t="shared" si="20"/>
        <v>1</v>
      </c>
      <c r="L115" s="662"/>
      <c r="M115" s="21">
        <f t="shared" si="21"/>
        <v>1</v>
      </c>
      <c r="N115" s="662"/>
      <c r="O115" s="21">
        <f t="shared" si="22"/>
        <v>1</v>
      </c>
      <c r="P115" s="662"/>
      <c r="Q115" s="21">
        <f t="shared" si="23"/>
        <v>0.06</v>
      </c>
      <c r="R115" s="659">
        <f t="shared" si="24"/>
        <v>0</v>
      </c>
      <c r="S115" s="316">
        <f t="shared" si="15"/>
        <v>0</v>
      </c>
    </row>
    <row r="116" spans="1:19">
      <c r="A116" s="150"/>
      <c r="B116" s="54"/>
      <c r="C116" s="21">
        <f t="shared" si="16"/>
        <v>1</v>
      </c>
      <c r="D116" s="662"/>
      <c r="E116" s="21">
        <f t="shared" si="17"/>
        <v>1</v>
      </c>
      <c r="F116" s="662"/>
      <c r="G116" s="21">
        <f t="shared" si="18"/>
        <v>1</v>
      </c>
      <c r="H116" s="662"/>
      <c r="I116" s="21">
        <f t="shared" si="19"/>
        <v>1</v>
      </c>
      <c r="J116" s="662"/>
      <c r="K116" s="21">
        <f t="shared" si="20"/>
        <v>1</v>
      </c>
      <c r="L116" s="662"/>
      <c r="M116" s="21">
        <f t="shared" si="21"/>
        <v>1</v>
      </c>
      <c r="N116" s="662"/>
      <c r="O116" s="21">
        <f t="shared" si="22"/>
        <v>1</v>
      </c>
      <c r="P116" s="662"/>
      <c r="Q116" s="21">
        <f t="shared" si="23"/>
        <v>0.06</v>
      </c>
      <c r="R116" s="659">
        <f t="shared" si="24"/>
        <v>0</v>
      </c>
      <c r="S116" s="316">
        <f t="shared" si="15"/>
        <v>0</v>
      </c>
    </row>
    <row r="117" spans="1:19">
      <c r="A117" s="150"/>
      <c r="B117" s="54"/>
      <c r="C117" s="21">
        <f t="shared" si="16"/>
        <v>1</v>
      </c>
      <c r="D117" s="662"/>
      <c r="E117" s="21">
        <f t="shared" si="17"/>
        <v>1</v>
      </c>
      <c r="F117" s="662"/>
      <c r="G117" s="21">
        <f t="shared" si="18"/>
        <v>1</v>
      </c>
      <c r="H117" s="662"/>
      <c r="I117" s="21">
        <f t="shared" si="19"/>
        <v>1</v>
      </c>
      <c r="J117" s="662"/>
      <c r="K117" s="21">
        <f t="shared" si="20"/>
        <v>1</v>
      </c>
      <c r="L117" s="662"/>
      <c r="M117" s="21">
        <f t="shared" si="21"/>
        <v>1</v>
      </c>
      <c r="N117" s="662"/>
      <c r="O117" s="21">
        <f t="shared" si="22"/>
        <v>1</v>
      </c>
      <c r="P117" s="662"/>
      <c r="Q117" s="21">
        <f t="shared" si="23"/>
        <v>0.06</v>
      </c>
      <c r="R117" s="659">
        <f t="shared" si="24"/>
        <v>0</v>
      </c>
      <c r="S117" s="316">
        <f t="shared" si="15"/>
        <v>0</v>
      </c>
    </row>
    <row r="118" spans="1:19">
      <c r="A118" s="150"/>
      <c r="B118" s="54"/>
      <c r="C118" s="21">
        <f t="shared" si="16"/>
        <v>1</v>
      </c>
      <c r="D118" s="662"/>
      <c r="E118" s="21">
        <f t="shared" si="17"/>
        <v>1</v>
      </c>
      <c r="F118" s="662"/>
      <c r="G118" s="21">
        <f t="shared" si="18"/>
        <v>1</v>
      </c>
      <c r="H118" s="662"/>
      <c r="I118" s="21">
        <f t="shared" si="19"/>
        <v>1</v>
      </c>
      <c r="J118" s="662"/>
      <c r="K118" s="21">
        <f t="shared" si="20"/>
        <v>1</v>
      </c>
      <c r="L118" s="662"/>
      <c r="M118" s="21">
        <f t="shared" si="21"/>
        <v>1</v>
      </c>
      <c r="N118" s="662"/>
      <c r="O118" s="21">
        <f t="shared" si="22"/>
        <v>1</v>
      </c>
      <c r="P118" s="662"/>
      <c r="Q118" s="21">
        <f t="shared" si="23"/>
        <v>0.06</v>
      </c>
      <c r="R118" s="659">
        <f t="shared" si="24"/>
        <v>0</v>
      </c>
      <c r="S118" s="316">
        <f t="shared" si="15"/>
        <v>0</v>
      </c>
    </row>
    <row r="119" spans="1:19">
      <c r="A119" s="150"/>
      <c r="B119" s="54"/>
      <c r="C119" s="21">
        <f t="shared" si="16"/>
        <v>1</v>
      </c>
      <c r="D119" s="662"/>
      <c r="E119" s="21">
        <f t="shared" si="17"/>
        <v>1</v>
      </c>
      <c r="F119" s="662"/>
      <c r="G119" s="21">
        <f t="shared" si="18"/>
        <v>1</v>
      </c>
      <c r="H119" s="662"/>
      <c r="I119" s="21">
        <f t="shared" si="19"/>
        <v>1</v>
      </c>
      <c r="J119" s="662"/>
      <c r="K119" s="21">
        <f t="shared" si="20"/>
        <v>1</v>
      </c>
      <c r="L119" s="662"/>
      <c r="M119" s="21">
        <f t="shared" si="21"/>
        <v>1</v>
      </c>
      <c r="N119" s="662"/>
      <c r="O119" s="21">
        <f t="shared" si="22"/>
        <v>1</v>
      </c>
      <c r="P119" s="662"/>
      <c r="Q119" s="21">
        <f t="shared" si="23"/>
        <v>0.06</v>
      </c>
      <c r="R119" s="659">
        <f t="shared" si="24"/>
        <v>0</v>
      </c>
      <c r="S119" s="316">
        <f t="shared" si="15"/>
        <v>0</v>
      </c>
    </row>
    <row r="120" spans="1:19">
      <c r="A120" s="150"/>
      <c r="B120" s="54"/>
      <c r="C120" s="21">
        <f t="shared" si="16"/>
        <v>1</v>
      </c>
      <c r="D120" s="662"/>
      <c r="E120" s="21">
        <f t="shared" si="17"/>
        <v>1</v>
      </c>
      <c r="F120" s="662"/>
      <c r="G120" s="21">
        <f t="shared" si="18"/>
        <v>1</v>
      </c>
      <c r="H120" s="662"/>
      <c r="I120" s="21">
        <f t="shared" si="19"/>
        <v>1</v>
      </c>
      <c r="J120" s="662"/>
      <c r="K120" s="21">
        <f t="shared" si="20"/>
        <v>1</v>
      </c>
      <c r="L120" s="662"/>
      <c r="M120" s="21">
        <f t="shared" si="21"/>
        <v>1</v>
      </c>
      <c r="N120" s="662"/>
      <c r="O120" s="21">
        <f t="shared" si="22"/>
        <v>1</v>
      </c>
      <c r="P120" s="662"/>
      <c r="Q120" s="21">
        <f t="shared" si="23"/>
        <v>0.06</v>
      </c>
      <c r="R120" s="659">
        <f t="shared" si="24"/>
        <v>0</v>
      </c>
      <c r="S120" s="316">
        <f t="shared" si="15"/>
        <v>0</v>
      </c>
    </row>
    <row r="121" spans="1:19">
      <c r="A121" s="150"/>
      <c r="B121" s="54"/>
      <c r="C121" s="21">
        <f t="shared" si="16"/>
        <v>1</v>
      </c>
      <c r="D121" s="662"/>
      <c r="E121" s="21">
        <f t="shared" si="17"/>
        <v>1</v>
      </c>
      <c r="F121" s="662"/>
      <c r="G121" s="21">
        <f t="shared" si="18"/>
        <v>1</v>
      </c>
      <c r="H121" s="662"/>
      <c r="I121" s="21">
        <f t="shared" si="19"/>
        <v>1</v>
      </c>
      <c r="J121" s="662"/>
      <c r="K121" s="21">
        <f t="shared" si="20"/>
        <v>1</v>
      </c>
      <c r="L121" s="662"/>
      <c r="M121" s="21">
        <f t="shared" si="21"/>
        <v>1</v>
      </c>
      <c r="N121" s="662"/>
      <c r="O121" s="21">
        <f t="shared" si="22"/>
        <v>1</v>
      </c>
      <c r="P121" s="662"/>
      <c r="Q121" s="21">
        <f t="shared" si="23"/>
        <v>0.06</v>
      </c>
      <c r="R121" s="659">
        <f t="shared" si="24"/>
        <v>0</v>
      </c>
      <c r="S121" s="316">
        <f t="shared" si="15"/>
        <v>0</v>
      </c>
    </row>
    <row r="122" spans="1:19">
      <c r="A122" s="150"/>
      <c r="B122" s="54"/>
      <c r="C122" s="21">
        <f t="shared" si="16"/>
        <v>1</v>
      </c>
      <c r="D122" s="662"/>
      <c r="E122" s="21">
        <f t="shared" si="17"/>
        <v>1</v>
      </c>
      <c r="F122" s="662"/>
      <c r="G122" s="21">
        <f t="shared" si="18"/>
        <v>1</v>
      </c>
      <c r="H122" s="662"/>
      <c r="I122" s="21">
        <f t="shared" si="19"/>
        <v>1</v>
      </c>
      <c r="J122" s="662"/>
      <c r="K122" s="21">
        <f t="shared" si="20"/>
        <v>1</v>
      </c>
      <c r="L122" s="662"/>
      <c r="M122" s="21">
        <f t="shared" si="21"/>
        <v>1</v>
      </c>
      <c r="N122" s="662"/>
      <c r="O122" s="21">
        <f t="shared" si="22"/>
        <v>1</v>
      </c>
      <c r="P122" s="662"/>
      <c r="Q122" s="21">
        <f t="shared" si="23"/>
        <v>0.06</v>
      </c>
      <c r="R122" s="659">
        <f t="shared" si="24"/>
        <v>0</v>
      </c>
      <c r="S122" s="316">
        <f t="shared" si="15"/>
        <v>0</v>
      </c>
    </row>
    <row r="123" spans="1:19">
      <c r="A123" s="150"/>
      <c r="B123" s="54"/>
      <c r="C123" s="21">
        <f t="shared" si="16"/>
        <v>1</v>
      </c>
      <c r="D123" s="662"/>
      <c r="E123" s="21">
        <f t="shared" si="17"/>
        <v>1</v>
      </c>
      <c r="F123" s="662"/>
      <c r="G123" s="21">
        <f t="shared" si="18"/>
        <v>1</v>
      </c>
      <c r="H123" s="662"/>
      <c r="I123" s="21">
        <f t="shared" si="19"/>
        <v>1</v>
      </c>
      <c r="J123" s="662"/>
      <c r="K123" s="21">
        <f t="shared" si="20"/>
        <v>1</v>
      </c>
      <c r="L123" s="662"/>
      <c r="M123" s="21">
        <f t="shared" si="21"/>
        <v>1</v>
      </c>
      <c r="N123" s="662"/>
      <c r="O123" s="21">
        <f t="shared" si="22"/>
        <v>1</v>
      </c>
      <c r="P123" s="662"/>
      <c r="Q123" s="21">
        <f t="shared" si="23"/>
        <v>0.06</v>
      </c>
      <c r="R123" s="659">
        <f t="shared" si="24"/>
        <v>0</v>
      </c>
      <c r="S123" s="316">
        <f t="shared" si="15"/>
        <v>0</v>
      </c>
    </row>
    <row r="124" spans="1:19">
      <c r="A124" s="150"/>
      <c r="B124" s="54"/>
      <c r="C124" s="21">
        <f t="shared" si="16"/>
        <v>1</v>
      </c>
      <c r="D124" s="662"/>
      <c r="E124" s="21">
        <f t="shared" si="17"/>
        <v>1</v>
      </c>
      <c r="F124" s="662"/>
      <c r="G124" s="21">
        <f t="shared" si="18"/>
        <v>1</v>
      </c>
      <c r="H124" s="662"/>
      <c r="I124" s="21">
        <f t="shared" si="19"/>
        <v>1</v>
      </c>
      <c r="J124" s="662"/>
      <c r="K124" s="21">
        <f t="shared" si="20"/>
        <v>1</v>
      </c>
      <c r="L124" s="662"/>
      <c r="M124" s="21">
        <f t="shared" si="21"/>
        <v>1</v>
      </c>
      <c r="N124" s="662"/>
      <c r="O124" s="21">
        <f t="shared" si="22"/>
        <v>1</v>
      </c>
      <c r="P124" s="662"/>
      <c r="Q124" s="21">
        <f t="shared" si="23"/>
        <v>0.06</v>
      </c>
      <c r="R124" s="659">
        <f t="shared" si="24"/>
        <v>0</v>
      </c>
      <c r="S124" s="316">
        <f t="shared" si="15"/>
        <v>0</v>
      </c>
    </row>
    <row r="125" spans="1:19">
      <c r="A125" s="150"/>
      <c r="B125" s="54"/>
      <c r="C125" s="21">
        <f t="shared" si="16"/>
        <v>1</v>
      </c>
      <c r="D125" s="662"/>
      <c r="E125" s="21">
        <f t="shared" si="17"/>
        <v>1</v>
      </c>
      <c r="F125" s="662"/>
      <c r="G125" s="21">
        <f t="shared" si="18"/>
        <v>1</v>
      </c>
      <c r="H125" s="662"/>
      <c r="I125" s="21">
        <f t="shared" si="19"/>
        <v>1</v>
      </c>
      <c r="J125" s="662"/>
      <c r="K125" s="21">
        <f t="shared" si="20"/>
        <v>1</v>
      </c>
      <c r="L125" s="662"/>
      <c r="M125" s="21">
        <f t="shared" si="21"/>
        <v>1</v>
      </c>
      <c r="N125" s="662"/>
      <c r="O125" s="21">
        <f t="shared" si="22"/>
        <v>1</v>
      </c>
      <c r="P125" s="662"/>
      <c r="Q125" s="21">
        <f t="shared" si="23"/>
        <v>0.06</v>
      </c>
      <c r="R125" s="659">
        <f t="shared" si="24"/>
        <v>0</v>
      </c>
      <c r="S125" s="316">
        <f t="shared" si="15"/>
        <v>0</v>
      </c>
    </row>
    <row r="126" spans="1:19">
      <c r="A126" s="150"/>
      <c r="B126" s="54"/>
      <c r="C126" s="21">
        <f t="shared" si="16"/>
        <v>1</v>
      </c>
      <c r="D126" s="662"/>
      <c r="E126" s="21">
        <f t="shared" si="17"/>
        <v>1</v>
      </c>
      <c r="F126" s="662"/>
      <c r="G126" s="21">
        <f t="shared" si="18"/>
        <v>1</v>
      </c>
      <c r="H126" s="662"/>
      <c r="I126" s="21">
        <f t="shared" si="19"/>
        <v>1</v>
      </c>
      <c r="J126" s="662"/>
      <c r="K126" s="21">
        <f t="shared" si="20"/>
        <v>1</v>
      </c>
      <c r="L126" s="662"/>
      <c r="M126" s="21">
        <f t="shared" si="21"/>
        <v>1</v>
      </c>
      <c r="N126" s="662"/>
      <c r="O126" s="21">
        <f t="shared" si="22"/>
        <v>1</v>
      </c>
      <c r="P126" s="662"/>
      <c r="Q126" s="21">
        <f t="shared" si="23"/>
        <v>0.06</v>
      </c>
      <c r="R126" s="659">
        <f t="shared" si="24"/>
        <v>0</v>
      </c>
      <c r="S126" s="316">
        <f t="shared" si="15"/>
        <v>0</v>
      </c>
    </row>
    <row r="127" spans="1:19">
      <c r="A127" s="150"/>
      <c r="B127" s="54"/>
      <c r="C127" s="21">
        <f t="shared" si="16"/>
        <v>1</v>
      </c>
      <c r="D127" s="662"/>
      <c r="E127" s="21">
        <f t="shared" si="17"/>
        <v>1</v>
      </c>
      <c r="F127" s="662"/>
      <c r="G127" s="21">
        <f t="shared" si="18"/>
        <v>1</v>
      </c>
      <c r="H127" s="662"/>
      <c r="I127" s="21">
        <f t="shared" si="19"/>
        <v>1</v>
      </c>
      <c r="J127" s="662"/>
      <c r="K127" s="21">
        <f t="shared" si="20"/>
        <v>1</v>
      </c>
      <c r="L127" s="662"/>
      <c r="M127" s="21">
        <f t="shared" si="21"/>
        <v>1</v>
      </c>
      <c r="N127" s="662"/>
      <c r="O127" s="21">
        <f t="shared" si="22"/>
        <v>1</v>
      </c>
      <c r="P127" s="662"/>
      <c r="Q127" s="21">
        <f t="shared" si="23"/>
        <v>0.06</v>
      </c>
      <c r="R127" s="659">
        <f t="shared" si="24"/>
        <v>0</v>
      </c>
      <c r="S127" s="316">
        <f t="shared" si="15"/>
        <v>0</v>
      </c>
    </row>
    <row r="128" spans="1:19">
      <c r="A128" s="150"/>
      <c r="B128" s="54"/>
      <c r="C128" s="21">
        <f t="shared" si="16"/>
        <v>1</v>
      </c>
      <c r="D128" s="662"/>
      <c r="E128" s="21">
        <f t="shared" si="17"/>
        <v>1</v>
      </c>
      <c r="F128" s="662"/>
      <c r="G128" s="21">
        <f t="shared" si="18"/>
        <v>1</v>
      </c>
      <c r="H128" s="662"/>
      <c r="I128" s="21">
        <f t="shared" si="19"/>
        <v>1</v>
      </c>
      <c r="J128" s="662"/>
      <c r="K128" s="21">
        <f t="shared" si="20"/>
        <v>1</v>
      </c>
      <c r="L128" s="662"/>
      <c r="M128" s="21">
        <f t="shared" si="21"/>
        <v>1</v>
      </c>
      <c r="N128" s="662"/>
      <c r="O128" s="21">
        <f t="shared" si="22"/>
        <v>1</v>
      </c>
      <c r="P128" s="662"/>
      <c r="Q128" s="21">
        <f t="shared" si="23"/>
        <v>0.06</v>
      </c>
      <c r="R128" s="659">
        <f t="shared" si="24"/>
        <v>0</v>
      </c>
      <c r="S128" s="316">
        <f t="shared" si="15"/>
        <v>0</v>
      </c>
    </row>
    <row r="129" spans="1:19">
      <c r="A129" s="150"/>
      <c r="B129" s="54"/>
      <c r="C129" s="21">
        <f t="shared" si="16"/>
        <v>1</v>
      </c>
      <c r="D129" s="662"/>
      <c r="E129" s="21">
        <f t="shared" si="17"/>
        <v>1</v>
      </c>
      <c r="F129" s="662"/>
      <c r="G129" s="21">
        <f t="shared" si="18"/>
        <v>1</v>
      </c>
      <c r="H129" s="662"/>
      <c r="I129" s="21">
        <f t="shared" si="19"/>
        <v>1</v>
      </c>
      <c r="J129" s="662"/>
      <c r="K129" s="21">
        <f t="shared" si="20"/>
        <v>1</v>
      </c>
      <c r="L129" s="662"/>
      <c r="M129" s="21">
        <f t="shared" si="21"/>
        <v>1</v>
      </c>
      <c r="N129" s="662"/>
      <c r="O129" s="21">
        <f t="shared" si="22"/>
        <v>1</v>
      </c>
      <c r="P129" s="662"/>
      <c r="Q129" s="21">
        <f t="shared" si="23"/>
        <v>0.06</v>
      </c>
      <c r="R129" s="659">
        <f t="shared" si="24"/>
        <v>0</v>
      </c>
      <c r="S129" s="316">
        <f t="shared" si="15"/>
        <v>0</v>
      </c>
    </row>
    <row r="130" spans="1:19">
      <c r="A130" s="150"/>
      <c r="B130" s="54"/>
      <c r="C130" s="21">
        <f t="shared" si="16"/>
        <v>1</v>
      </c>
      <c r="D130" s="662"/>
      <c r="E130" s="21">
        <f t="shared" si="17"/>
        <v>1</v>
      </c>
      <c r="F130" s="662"/>
      <c r="G130" s="21">
        <f t="shared" si="18"/>
        <v>1</v>
      </c>
      <c r="H130" s="662"/>
      <c r="I130" s="21">
        <f t="shared" si="19"/>
        <v>1</v>
      </c>
      <c r="J130" s="662"/>
      <c r="K130" s="21">
        <f t="shared" si="20"/>
        <v>1</v>
      </c>
      <c r="L130" s="662"/>
      <c r="M130" s="21">
        <f t="shared" si="21"/>
        <v>1</v>
      </c>
      <c r="N130" s="662"/>
      <c r="O130" s="21">
        <f t="shared" si="22"/>
        <v>1</v>
      </c>
      <c r="P130" s="662"/>
      <c r="Q130" s="21">
        <f t="shared" si="23"/>
        <v>0.06</v>
      </c>
      <c r="R130" s="659">
        <f t="shared" si="24"/>
        <v>0</v>
      </c>
      <c r="S130" s="316">
        <f t="shared" si="15"/>
        <v>0</v>
      </c>
    </row>
    <row r="131" spans="1:19">
      <c r="A131" s="150"/>
      <c r="B131" s="54"/>
      <c r="C131" s="21">
        <f t="shared" si="16"/>
        <v>1</v>
      </c>
      <c r="D131" s="662"/>
      <c r="E131" s="21">
        <f t="shared" si="17"/>
        <v>1</v>
      </c>
      <c r="F131" s="662"/>
      <c r="G131" s="21">
        <f t="shared" si="18"/>
        <v>1</v>
      </c>
      <c r="H131" s="662"/>
      <c r="I131" s="21">
        <f t="shared" si="19"/>
        <v>1</v>
      </c>
      <c r="J131" s="662"/>
      <c r="K131" s="21">
        <f t="shared" si="20"/>
        <v>1</v>
      </c>
      <c r="L131" s="662"/>
      <c r="M131" s="21">
        <f t="shared" si="21"/>
        <v>1</v>
      </c>
      <c r="N131" s="662"/>
      <c r="O131" s="21">
        <f t="shared" si="22"/>
        <v>1</v>
      </c>
      <c r="P131" s="662"/>
      <c r="Q131" s="21">
        <f t="shared" si="23"/>
        <v>0.06</v>
      </c>
      <c r="R131" s="659">
        <f t="shared" si="24"/>
        <v>0</v>
      </c>
      <c r="S131" s="316">
        <f t="shared" si="15"/>
        <v>0</v>
      </c>
    </row>
    <row r="132" spans="1:19">
      <c r="A132" s="150"/>
      <c r="B132" s="54"/>
      <c r="C132" s="21">
        <f t="shared" si="16"/>
        <v>1</v>
      </c>
      <c r="D132" s="662"/>
      <c r="E132" s="21">
        <f t="shared" si="17"/>
        <v>1</v>
      </c>
      <c r="F132" s="662"/>
      <c r="G132" s="21">
        <f t="shared" si="18"/>
        <v>1</v>
      </c>
      <c r="H132" s="662"/>
      <c r="I132" s="21">
        <f t="shared" si="19"/>
        <v>1</v>
      </c>
      <c r="J132" s="662"/>
      <c r="K132" s="21">
        <f t="shared" si="20"/>
        <v>1</v>
      </c>
      <c r="L132" s="662"/>
      <c r="M132" s="21">
        <f t="shared" si="21"/>
        <v>1</v>
      </c>
      <c r="N132" s="662"/>
      <c r="O132" s="21">
        <f t="shared" si="22"/>
        <v>1</v>
      </c>
      <c r="P132" s="662"/>
      <c r="Q132" s="21">
        <f t="shared" si="23"/>
        <v>0.06</v>
      </c>
      <c r="R132" s="659">
        <f t="shared" si="24"/>
        <v>0</v>
      </c>
      <c r="S132" s="316">
        <f t="shared" si="15"/>
        <v>0</v>
      </c>
    </row>
    <row r="133" spans="1:19">
      <c r="A133" s="150"/>
      <c r="B133" s="54"/>
      <c r="C133" s="21">
        <f t="shared" si="16"/>
        <v>1</v>
      </c>
      <c r="D133" s="662"/>
      <c r="E133" s="21">
        <f t="shared" si="17"/>
        <v>1</v>
      </c>
      <c r="F133" s="662"/>
      <c r="G133" s="21">
        <f t="shared" si="18"/>
        <v>1</v>
      </c>
      <c r="H133" s="662"/>
      <c r="I133" s="21">
        <f t="shared" si="19"/>
        <v>1</v>
      </c>
      <c r="J133" s="662"/>
      <c r="K133" s="21">
        <f t="shared" si="20"/>
        <v>1</v>
      </c>
      <c r="L133" s="662"/>
      <c r="M133" s="21">
        <f t="shared" si="21"/>
        <v>1</v>
      </c>
      <c r="N133" s="662"/>
      <c r="O133" s="21">
        <f t="shared" si="22"/>
        <v>1</v>
      </c>
      <c r="P133" s="662"/>
      <c r="Q133" s="21">
        <f t="shared" si="23"/>
        <v>0.06</v>
      </c>
      <c r="R133" s="659">
        <f t="shared" si="24"/>
        <v>0</v>
      </c>
      <c r="S133" s="316">
        <f t="shared" si="15"/>
        <v>0</v>
      </c>
    </row>
    <row r="134" spans="1:19">
      <c r="A134" s="150"/>
      <c r="B134" s="54"/>
      <c r="C134" s="21">
        <f t="shared" si="16"/>
        <v>1</v>
      </c>
      <c r="D134" s="662"/>
      <c r="E134" s="21">
        <f t="shared" si="17"/>
        <v>1</v>
      </c>
      <c r="F134" s="662"/>
      <c r="G134" s="21">
        <f t="shared" si="18"/>
        <v>1</v>
      </c>
      <c r="H134" s="662"/>
      <c r="I134" s="21">
        <f t="shared" si="19"/>
        <v>1</v>
      </c>
      <c r="J134" s="662"/>
      <c r="K134" s="21">
        <f t="shared" si="20"/>
        <v>1</v>
      </c>
      <c r="L134" s="662"/>
      <c r="M134" s="21">
        <f t="shared" si="21"/>
        <v>1</v>
      </c>
      <c r="N134" s="662"/>
      <c r="O134" s="21">
        <f t="shared" si="22"/>
        <v>1</v>
      </c>
      <c r="P134" s="662"/>
      <c r="Q134" s="21">
        <f t="shared" si="23"/>
        <v>0.06</v>
      </c>
      <c r="R134" s="659">
        <f t="shared" si="24"/>
        <v>0</v>
      </c>
      <c r="S134" s="316">
        <f t="shared" si="15"/>
        <v>0</v>
      </c>
    </row>
    <row r="135" spans="1:19">
      <c r="A135" s="150"/>
      <c r="B135" s="54"/>
      <c r="C135" s="21">
        <f t="shared" si="16"/>
        <v>1</v>
      </c>
      <c r="D135" s="662"/>
      <c r="E135" s="21">
        <f t="shared" si="17"/>
        <v>1</v>
      </c>
      <c r="F135" s="662"/>
      <c r="G135" s="21">
        <f t="shared" si="18"/>
        <v>1</v>
      </c>
      <c r="H135" s="662"/>
      <c r="I135" s="21">
        <f t="shared" si="19"/>
        <v>1</v>
      </c>
      <c r="J135" s="662"/>
      <c r="K135" s="21">
        <f t="shared" si="20"/>
        <v>1</v>
      </c>
      <c r="L135" s="662"/>
      <c r="M135" s="21">
        <f t="shared" si="21"/>
        <v>1</v>
      </c>
      <c r="N135" s="662"/>
      <c r="O135" s="21">
        <f t="shared" si="22"/>
        <v>1</v>
      </c>
      <c r="P135" s="662"/>
      <c r="Q135" s="21">
        <f t="shared" si="23"/>
        <v>0.06</v>
      </c>
      <c r="R135" s="659">
        <f t="shared" si="24"/>
        <v>0</v>
      </c>
      <c r="S135" s="316">
        <f t="shared" si="15"/>
        <v>0</v>
      </c>
    </row>
    <row r="136" spans="1:19">
      <c r="A136" s="150"/>
      <c r="B136" s="54"/>
      <c r="C136" s="21">
        <f t="shared" si="16"/>
        <v>1</v>
      </c>
      <c r="D136" s="662"/>
      <c r="E136" s="21">
        <f t="shared" si="17"/>
        <v>1</v>
      </c>
      <c r="F136" s="662"/>
      <c r="G136" s="21">
        <f t="shared" si="18"/>
        <v>1</v>
      </c>
      <c r="H136" s="662"/>
      <c r="I136" s="21">
        <f t="shared" si="19"/>
        <v>1</v>
      </c>
      <c r="J136" s="662"/>
      <c r="K136" s="21">
        <f t="shared" si="20"/>
        <v>1</v>
      </c>
      <c r="L136" s="662"/>
      <c r="M136" s="21">
        <f t="shared" si="21"/>
        <v>1</v>
      </c>
      <c r="N136" s="662"/>
      <c r="O136" s="21">
        <f t="shared" si="22"/>
        <v>1</v>
      </c>
      <c r="P136" s="662"/>
      <c r="Q136" s="21">
        <f t="shared" si="23"/>
        <v>0.06</v>
      </c>
      <c r="R136" s="659">
        <f t="shared" si="24"/>
        <v>0</v>
      </c>
      <c r="S136" s="316">
        <f t="shared" si="15"/>
        <v>0</v>
      </c>
    </row>
    <row r="137" spans="1:19">
      <c r="A137" s="150"/>
      <c r="B137" s="54"/>
      <c r="C137" s="21">
        <f t="shared" si="16"/>
        <v>1</v>
      </c>
      <c r="D137" s="662"/>
      <c r="E137" s="21">
        <f t="shared" si="17"/>
        <v>1</v>
      </c>
      <c r="F137" s="662"/>
      <c r="G137" s="21">
        <f t="shared" si="18"/>
        <v>1</v>
      </c>
      <c r="H137" s="662"/>
      <c r="I137" s="21">
        <f t="shared" si="19"/>
        <v>1</v>
      </c>
      <c r="J137" s="662"/>
      <c r="K137" s="21">
        <f t="shared" si="20"/>
        <v>1</v>
      </c>
      <c r="L137" s="662"/>
      <c r="M137" s="21">
        <f t="shared" si="21"/>
        <v>1</v>
      </c>
      <c r="N137" s="662"/>
      <c r="O137" s="21">
        <f t="shared" si="22"/>
        <v>1</v>
      </c>
      <c r="P137" s="662"/>
      <c r="Q137" s="21">
        <f t="shared" si="23"/>
        <v>0.06</v>
      </c>
      <c r="R137" s="659">
        <f t="shared" si="24"/>
        <v>0</v>
      </c>
      <c r="S137" s="316">
        <f t="shared" si="15"/>
        <v>0</v>
      </c>
    </row>
    <row r="138" spans="1:19">
      <c r="A138" s="150"/>
      <c r="B138" s="54"/>
      <c r="C138" s="21">
        <f t="shared" si="16"/>
        <v>1</v>
      </c>
      <c r="D138" s="662"/>
      <c r="E138" s="21">
        <f t="shared" si="17"/>
        <v>1</v>
      </c>
      <c r="F138" s="662"/>
      <c r="G138" s="21">
        <f t="shared" si="18"/>
        <v>1</v>
      </c>
      <c r="H138" s="662"/>
      <c r="I138" s="21">
        <f t="shared" si="19"/>
        <v>1</v>
      </c>
      <c r="J138" s="662"/>
      <c r="K138" s="21">
        <f t="shared" si="20"/>
        <v>1</v>
      </c>
      <c r="L138" s="662"/>
      <c r="M138" s="21">
        <f t="shared" si="21"/>
        <v>1</v>
      </c>
      <c r="N138" s="662"/>
      <c r="O138" s="21">
        <f t="shared" si="22"/>
        <v>1</v>
      </c>
      <c r="P138" s="662"/>
      <c r="Q138" s="21">
        <f t="shared" si="23"/>
        <v>0.06</v>
      </c>
      <c r="R138" s="659">
        <f t="shared" si="24"/>
        <v>0</v>
      </c>
      <c r="S138" s="316">
        <f t="shared" si="15"/>
        <v>0</v>
      </c>
    </row>
    <row r="139" spans="1:19">
      <c r="A139" s="150"/>
      <c r="B139" s="54"/>
      <c r="C139" s="21">
        <f t="shared" si="16"/>
        <v>1</v>
      </c>
      <c r="D139" s="662"/>
      <c r="E139" s="21">
        <f t="shared" si="17"/>
        <v>1</v>
      </c>
      <c r="F139" s="662"/>
      <c r="G139" s="21">
        <f t="shared" si="18"/>
        <v>1</v>
      </c>
      <c r="H139" s="662"/>
      <c r="I139" s="21">
        <f t="shared" si="19"/>
        <v>1</v>
      </c>
      <c r="J139" s="662"/>
      <c r="K139" s="21">
        <f t="shared" si="20"/>
        <v>1</v>
      </c>
      <c r="L139" s="662"/>
      <c r="M139" s="21">
        <f t="shared" si="21"/>
        <v>1</v>
      </c>
      <c r="N139" s="662"/>
      <c r="O139" s="21">
        <f t="shared" si="22"/>
        <v>1</v>
      </c>
      <c r="P139" s="662"/>
      <c r="Q139" s="21">
        <f t="shared" si="23"/>
        <v>0.06</v>
      </c>
      <c r="R139" s="659">
        <f t="shared" si="24"/>
        <v>0</v>
      </c>
      <c r="S139" s="316">
        <f t="shared" si="15"/>
        <v>0</v>
      </c>
    </row>
    <row r="140" spans="1:19">
      <c r="A140" s="150"/>
      <c r="B140" s="54"/>
      <c r="C140" s="21">
        <f t="shared" si="16"/>
        <v>1</v>
      </c>
      <c r="D140" s="662"/>
      <c r="E140" s="21">
        <f t="shared" si="17"/>
        <v>1</v>
      </c>
      <c r="F140" s="662"/>
      <c r="G140" s="21">
        <f t="shared" si="18"/>
        <v>1</v>
      </c>
      <c r="H140" s="662"/>
      <c r="I140" s="21">
        <f t="shared" si="19"/>
        <v>1</v>
      </c>
      <c r="J140" s="662"/>
      <c r="K140" s="21">
        <f t="shared" si="20"/>
        <v>1</v>
      </c>
      <c r="L140" s="662"/>
      <c r="M140" s="21">
        <f t="shared" si="21"/>
        <v>1</v>
      </c>
      <c r="N140" s="662"/>
      <c r="O140" s="21">
        <f t="shared" si="22"/>
        <v>1</v>
      </c>
      <c r="P140" s="662"/>
      <c r="Q140" s="21">
        <f t="shared" si="23"/>
        <v>0.06</v>
      </c>
      <c r="R140" s="659">
        <f t="shared" si="24"/>
        <v>0</v>
      </c>
      <c r="S140" s="316">
        <f t="shared" si="15"/>
        <v>0</v>
      </c>
    </row>
    <row r="141" spans="1:19">
      <c r="A141" s="150"/>
      <c r="B141" s="54"/>
      <c r="C141" s="21">
        <f t="shared" si="16"/>
        <v>1</v>
      </c>
      <c r="D141" s="662"/>
      <c r="E141" s="21">
        <f t="shared" si="17"/>
        <v>1</v>
      </c>
      <c r="F141" s="662"/>
      <c r="G141" s="21">
        <f t="shared" si="18"/>
        <v>1</v>
      </c>
      <c r="H141" s="662"/>
      <c r="I141" s="21">
        <f t="shared" si="19"/>
        <v>1</v>
      </c>
      <c r="J141" s="662"/>
      <c r="K141" s="21">
        <f t="shared" si="20"/>
        <v>1</v>
      </c>
      <c r="L141" s="662"/>
      <c r="M141" s="21">
        <f t="shared" si="21"/>
        <v>1</v>
      </c>
      <c r="N141" s="662"/>
      <c r="O141" s="21">
        <f t="shared" si="22"/>
        <v>1</v>
      </c>
      <c r="P141" s="662"/>
      <c r="Q141" s="21">
        <f t="shared" si="23"/>
        <v>0.06</v>
      </c>
      <c r="R141" s="659">
        <f t="shared" si="24"/>
        <v>0</v>
      </c>
      <c r="S141" s="316">
        <f t="shared" si="15"/>
        <v>0</v>
      </c>
    </row>
    <row r="142" spans="1:19">
      <c r="A142" s="150"/>
      <c r="B142" s="54"/>
      <c r="C142" s="21">
        <f t="shared" si="16"/>
        <v>1</v>
      </c>
      <c r="D142" s="662"/>
      <c r="E142" s="21">
        <f t="shared" si="17"/>
        <v>1</v>
      </c>
      <c r="F142" s="662"/>
      <c r="G142" s="21">
        <f t="shared" si="18"/>
        <v>1</v>
      </c>
      <c r="H142" s="662"/>
      <c r="I142" s="21">
        <f t="shared" si="19"/>
        <v>1</v>
      </c>
      <c r="J142" s="662"/>
      <c r="K142" s="21">
        <f t="shared" si="20"/>
        <v>1</v>
      </c>
      <c r="L142" s="662"/>
      <c r="M142" s="21">
        <f t="shared" si="21"/>
        <v>1</v>
      </c>
      <c r="N142" s="662"/>
      <c r="O142" s="21">
        <f t="shared" si="22"/>
        <v>1</v>
      </c>
      <c r="P142" s="662"/>
      <c r="Q142" s="21">
        <f t="shared" si="23"/>
        <v>0.06</v>
      </c>
      <c r="R142" s="659">
        <f t="shared" si="24"/>
        <v>0</v>
      </c>
      <c r="S142" s="316">
        <f t="shared" si="15"/>
        <v>0</v>
      </c>
    </row>
    <row r="143" spans="1:19">
      <c r="A143" s="150"/>
      <c r="B143" s="54"/>
      <c r="C143" s="21">
        <f t="shared" si="16"/>
        <v>1</v>
      </c>
      <c r="D143" s="662"/>
      <c r="E143" s="21">
        <f t="shared" si="17"/>
        <v>1</v>
      </c>
      <c r="F143" s="662"/>
      <c r="G143" s="21">
        <f t="shared" si="18"/>
        <v>1</v>
      </c>
      <c r="H143" s="662"/>
      <c r="I143" s="21">
        <f t="shared" si="19"/>
        <v>1</v>
      </c>
      <c r="J143" s="662"/>
      <c r="K143" s="21">
        <f t="shared" si="20"/>
        <v>1</v>
      </c>
      <c r="L143" s="662"/>
      <c r="M143" s="21">
        <f t="shared" si="21"/>
        <v>1</v>
      </c>
      <c r="N143" s="662"/>
      <c r="O143" s="21">
        <f t="shared" si="22"/>
        <v>1</v>
      </c>
      <c r="P143" s="662"/>
      <c r="Q143" s="21">
        <f t="shared" si="23"/>
        <v>0.06</v>
      </c>
      <c r="R143" s="659">
        <f t="shared" si="24"/>
        <v>0</v>
      </c>
      <c r="S143" s="316">
        <f t="shared" si="15"/>
        <v>0</v>
      </c>
    </row>
    <row r="144" spans="1:19">
      <c r="A144" s="150"/>
      <c r="B144" s="54"/>
      <c r="C144" s="21">
        <f t="shared" si="16"/>
        <v>1</v>
      </c>
      <c r="D144" s="662"/>
      <c r="E144" s="21">
        <f t="shared" si="17"/>
        <v>1</v>
      </c>
      <c r="F144" s="662"/>
      <c r="G144" s="21">
        <f t="shared" si="18"/>
        <v>1</v>
      </c>
      <c r="H144" s="662"/>
      <c r="I144" s="21">
        <f t="shared" si="19"/>
        <v>1</v>
      </c>
      <c r="J144" s="662"/>
      <c r="K144" s="21">
        <f t="shared" si="20"/>
        <v>1</v>
      </c>
      <c r="L144" s="662"/>
      <c r="M144" s="21">
        <f t="shared" si="21"/>
        <v>1</v>
      </c>
      <c r="N144" s="662"/>
      <c r="O144" s="21">
        <f t="shared" si="22"/>
        <v>1</v>
      </c>
      <c r="P144" s="662"/>
      <c r="Q144" s="21">
        <f t="shared" si="23"/>
        <v>0.06</v>
      </c>
      <c r="R144" s="659">
        <f t="shared" si="24"/>
        <v>0</v>
      </c>
      <c r="S144" s="316">
        <f t="shared" si="15"/>
        <v>0</v>
      </c>
    </row>
    <row r="145" spans="1:19">
      <c r="A145" s="150"/>
      <c r="B145" s="54"/>
      <c r="C145" s="21">
        <f t="shared" si="16"/>
        <v>1</v>
      </c>
      <c r="D145" s="662"/>
      <c r="E145" s="21">
        <f t="shared" si="17"/>
        <v>1</v>
      </c>
      <c r="F145" s="662"/>
      <c r="G145" s="21">
        <f t="shared" si="18"/>
        <v>1</v>
      </c>
      <c r="H145" s="662"/>
      <c r="I145" s="21">
        <f t="shared" si="19"/>
        <v>1</v>
      </c>
      <c r="J145" s="662"/>
      <c r="K145" s="21">
        <f t="shared" si="20"/>
        <v>1</v>
      </c>
      <c r="L145" s="662"/>
      <c r="M145" s="21">
        <f t="shared" si="21"/>
        <v>1</v>
      </c>
      <c r="N145" s="662"/>
      <c r="O145" s="21">
        <f t="shared" si="22"/>
        <v>1</v>
      </c>
      <c r="P145" s="662"/>
      <c r="Q145" s="21">
        <f t="shared" si="23"/>
        <v>0.06</v>
      </c>
      <c r="R145" s="659">
        <f t="shared" si="24"/>
        <v>0</v>
      </c>
      <c r="S145" s="316">
        <f t="shared" si="15"/>
        <v>0</v>
      </c>
    </row>
    <row r="146" spans="1:19">
      <c r="A146" s="150"/>
      <c r="B146" s="54"/>
      <c r="C146" s="21">
        <f t="shared" si="16"/>
        <v>1</v>
      </c>
      <c r="D146" s="662"/>
      <c r="E146" s="21">
        <f t="shared" si="17"/>
        <v>1</v>
      </c>
      <c r="F146" s="662"/>
      <c r="G146" s="21">
        <f t="shared" si="18"/>
        <v>1</v>
      </c>
      <c r="H146" s="662"/>
      <c r="I146" s="21">
        <f t="shared" si="19"/>
        <v>1</v>
      </c>
      <c r="J146" s="662"/>
      <c r="K146" s="21">
        <f t="shared" si="20"/>
        <v>1</v>
      </c>
      <c r="L146" s="662"/>
      <c r="M146" s="21">
        <f t="shared" si="21"/>
        <v>1</v>
      </c>
      <c r="N146" s="662"/>
      <c r="O146" s="21">
        <f t="shared" si="22"/>
        <v>1</v>
      </c>
      <c r="P146" s="662"/>
      <c r="Q146" s="21">
        <f t="shared" si="23"/>
        <v>0.06</v>
      </c>
      <c r="R146" s="659">
        <f t="shared" si="24"/>
        <v>0</v>
      </c>
      <c r="S146" s="316">
        <f t="shared" si="15"/>
        <v>0</v>
      </c>
    </row>
    <row r="147" spans="1:19">
      <c r="A147" s="150"/>
      <c r="B147" s="54"/>
      <c r="C147" s="21">
        <f t="shared" si="16"/>
        <v>1</v>
      </c>
      <c r="D147" s="662"/>
      <c r="E147" s="21">
        <f t="shared" si="17"/>
        <v>1</v>
      </c>
      <c r="F147" s="662"/>
      <c r="G147" s="21">
        <f t="shared" si="18"/>
        <v>1</v>
      </c>
      <c r="H147" s="662"/>
      <c r="I147" s="21">
        <f t="shared" si="19"/>
        <v>1</v>
      </c>
      <c r="J147" s="662"/>
      <c r="K147" s="21">
        <f t="shared" si="20"/>
        <v>1</v>
      </c>
      <c r="L147" s="662"/>
      <c r="M147" s="21">
        <f t="shared" si="21"/>
        <v>1</v>
      </c>
      <c r="N147" s="662"/>
      <c r="O147" s="21">
        <f t="shared" si="22"/>
        <v>1</v>
      </c>
      <c r="P147" s="662"/>
      <c r="Q147" s="21">
        <f t="shared" si="23"/>
        <v>0.06</v>
      </c>
      <c r="R147" s="659">
        <f t="shared" si="24"/>
        <v>0</v>
      </c>
      <c r="S147" s="316">
        <f t="shared" si="15"/>
        <v>0</v>
      </c>
    </row>
    <row r="148" spans="1:19">
      <c r="A148" s="150"/>
      <c r="B148" s="54"/>
      <c r="C148" s="21">
        <f t="shared" si="16"/>
        <v>1</v>
      </c>
      <c r="D148" s="662"/>
      <c r="E148" s="21">
        <f t="shared" si="17"/>
        <v>1</v>
      </c>
      <c r="F148" s="662"/>
      <c r="G148" s="21">
        <f t="shared" si="18"/>
        <v>1</v>
      </c>
      <c r="H148" s="662"/>
      <c r="I148" s="21">
        <f t="shared" si="19"/>
        <v>1</v>
      </c>
      <c r="J148" s="662"/>
      <c r="K148" s="21">
        <f t="shared" si="20"/>
        <v>1</v>
      </c>
      <c r="L148" s="662"/>
      <c r="M148" s="21">
        <f t="shared" si="21"/>
        <v>1</v>
      </c>
      <c r="N148" s="662"/>
      <c r="O148" s="21">
        <f t="shared" si="22"/>
        <v>1</v>
      </c>
      <c r="P148" s="662"/>
      <c r="Q148" s="21">
        <f t="shared" si="23"/>
        <v>0.06</v>
      </c>
      <c r="R148" s="659">
        <f t="shared" si="24"/>
        <v>0</v>
      </c>
      <c r="S148" s="316">
        <f t="shared" si="15"/>
        <v>0</v>
      </c>
    </row>
    <row r="149" spans="1:19">
      <c r="A149" s="150"/>
      <c r="B149" s="54"/>
      <c r="C149" s="21">
        <f t="shared" si="16"/>
        <v>1</v>
      </c>
      <c r="D149" s="662"/>
      <c r="E149" s="21">
        <f t="shared" si="17"/>
        <v>1</v>
      </c>
      <c r="F149" s="662"/>
      <c r="G149" s="21">
        <f t="shared" si="18"/>
        <v>1</v>
      </c>
      <c r="H149" s="662"/>
      <c r="I149" s="21">
        <f t="shared" si="19"/>
        <v>1</v>
      </c>
      <c r="J149" s="662"/>
      <c r="K149" s="21">
        <f t="shared" si="20"/>
        <v>1</v>
      </c>
      <c r="L149" s="662"/>
      <c r="M149" s="21">
        <f t="shared" si="21"/>
        <v>1</v>
      </c>
      <c r="N149" s="662"/>
      <c r="O149" s="21">
        <f t="shared" si="22"/>
        <v>1</v>
      </c>
      <c r="P149" s="662"/>
      <c r="Q149" s="21">
        <f t="shared" si="23"/>
        <v>0.06</v>
      </c>
      <c r="R149" s="659">
        <f t="shared" si="24"/>
        <v>0</v>
      </c>
      <c r="S149" s="316">
        <f t="shared" si="15"/>
        <v>0</v>
      </c>
    </row>
    <row r="150" spans="1:19">
      <c r="A150" s="150"/>
      <c r="B150" s="54"/>
      <c r="C150" s="21">
        <f t="shared" si="16"/>
        <v>1</v>
      </c>
      <c r="D150" s="662"/>
      <c r="E150" s="21">
        <f t="shared" si="17"/>
        <v>1</v>
      </c>
      <c r="F150" s="662"/>
      <c r="G150" s="21">
        <f t="shared" si="18"/>
        <v>1</v>
      </c>
      <c r="H150" s="662"/>
      <c r="I150" s="21">
        <f t="shared" si="19"/>
        <v>1</v>
      </c>
      <c r="J150" s="662"/>
      <c r="K150" s="21">
        <f t="shared" si="20"/>
        <v>1</v>
      </c>
      <c r="L150" s="662"/>
      <c r="M150" s="21">
        <f t="shared" si="21"/>
        <v>1</v>
      </c>
      <c r="N150" s="662"/>
      <c r="O150" s="21">
        <f t="shared" si="22"/>
        <v>1</v>
      </c>
      <c r="P150" s="662"/>
      <c r="Q150" s="21">
        <f t="shared" si="23"/>
        <v>0.06</v>
      </c>
      <c r="R150" s="659">
        <f t="shared" si="24"/>
        <v>0</v>
      </c>
      <c r="S150" s="316">
        <f t="shared" si="15"/>
        <v>0</v>
      </c>
    </row>
    <row r="151" spans="1:19">
      <c r="A151" s="150"/>
      <c r="B151" s="54"/>
      <c r="C151" s="21">
        <f t="shared" si="16"/>
        <v>1</v>
      </c>
      <c r="D151" s="662"/>
      <c r="E151" s="21">
        <f t="shared" si="17"/>
        <v>1</v>
      </c>
      <c r="F151" s="662"/>
      <c r="G151" s="21">
        <f t="shared" si="18"/>
        <v>1</v>
      </c>
      <c r="H151" s="662"/>
      <c r="I151" s="21">
        <f t="shared" si="19"/>
        <v>1</v>
      </c>
      <c r="J151" s="662"/>
      <c r="K151" s="21">
        <f t="shared" si="20"/>
        <v>1</v>
      </c>
      <c r="L151" s="662"/>
      <c r="M151" s="21">
        <f t="shared" si="21"/>
        <v>1</v>
      </c>
      <c r="N151" s="662"/>
      <c r="O151" s="21">
        <f t="shared" si="22"/>
        <v>1</v>
      </c>
      <c r="P151" s="662"/>
      <c r="Q151" s="21">
        <f t="shared" si="23"/>
        <v>0.06</v>
      </c>
      <c r="R151" s="659">
        <f t="shared" si="24"/>
        <v>0</v>
      </c>
      <c r="S151" s="316">
        <f t="shared" si="15"/>
        <v>0</v>
      </c>
    </row>
    <row r="152" spans="1:19">
      <c r="A152" s="150"/>
      <c r="B152" s="54"/>
      <c r="C152" s="21">
        <f t="shared" si="16"/>
        <v>1</v>
      </c>
      <c r="D152" s="662"/>
      <c r="E152" s="21">
        <f t="shared" si="17"/>
        <v>1</v>
      </c>
      <c r="F152" s="662"/>
      <c r="G152" s="21">
        <f t="shared" si="18"/>
        <v>1</v>
      </c>
      <c r="H152" s="662"/>
      <c r="I152" s="21">
        <f t="shared" si="19"/>
        <v>1</v>
      </c>
      <c r="J152" s="662"/>
      <c r="K152" s="21">
        <f t="shared" si="20"/>
        <v>1</v>
      </c>
      <c r="L152" s="662"/>
      <c r="M152" s="21">
        <f t="shared" si="21"/>
        <v>1</v>
      </c>
      <c r="N152" s="662"/>
      <c r="O152" s="21">
        <f t="shared" si="22"/>
        <v>1</v>
      </c>
      <c r="P152" s="662"/>
      <c r="Q152" s="21">
        <f t="shared" si="23"/>
        <v>0.06</v>
      </c>
      <c r="R152" s="659">
        <f t="shared" si="24"/>
        <v>0</v>
      </c>
      <c r="S152" s="316">
        <f t="shared" ref="S152:S215" si="25">ROUND(R152*B152/10000,0)</f>
        <v>0</v>
      </c>
    </row>
    <row r="153" spans="1:19">
      <c r="A153" s="150"/>
      <c r="B153" s="54"/>
      <c r="C153" s="21">
        <f t="shared" si="16"/>
        <v>1</v>
      </c>
      <c r="D153" s="662"/>
      <c r="E153" s="21">
        <f t="shared" si="17"/>
        <v>1</v>
      </c>
      <c r="F153" s="662"/>
      <c r="G153" s="21">
        <f t="shared" si="18"/>
        <v>1</v>
      </c>
      <c r="H153" s="662"/>
      <c r="I153" s="21">
        <f t="shared" si="19"/>
        <v>1</v>
      </c>
      <c r="J153" s="662"/>
      <c r="K153" s="21">
        <f t="shared" si="20"/>
        <v>1</v>
      </c>
      <c r="L153" s="662"/>
      <c r="M153" s="21">
        <f t="shared" si="21"/>
        <v>1</v>
      </c>
      <c r="N153" s="662"/>
      <c r="O153" s="21">
        <f t="shared" si="22"/>
        <v>1</v>
      </c>
      <c r="P153" s="662"/>
      <c r="Q153" s="21">
        <f t="shared" si="23"/>
        <v>0.06</v>
      </c>
      <c r="R153" s="659">
        <f t="shared" si="24"/>
        <v>0</v>
      </c>
      <c r="S153" s="316">
        <f t="shared" si="25"/>
        <v>0</v>
      </c>
    </row>
    <row r="154" spans="1:19">
      <c r="A154" s="150"/>
      <c r="B154" s="54"/>
      <c r="C154" s="21">
        <f t="shared" ref="C154:C217" si="26">IF(B154="",1,(LOOKUP(B154,$3:$3,$4:$4)-LOOKUP($B$24,$3:$3,$4:$4)+100)/100)</f>
        <v>1</v>
      </c>
      <c r="D154" s="662"/>
      <c r="E154" s="21">
        <f t="shared" ref="E154:E217" si="27">(SUMIF($5:$5,D154,$6:$6)-SUMIF($5:$5,$D$24,$6:$6)+100)/100</f>
        <v>1</v>
      </c>
      <c r="F154" s="662"/>
      <c r="G154" s="21">
        <f t="shared" ref="G154:G217" si="28">(SUMIF($7:$7,F154,$8:$8)-SUMIF($7:$7,$F$24,$8:$8)+100)/100</f>
        <v>1</v>
      </c>
      <c r="H154" s="662"/>
      <c r="I154" s="21">
        <f t="shared" ref="I154:I217" si="29">(SUMIF($9:$9,H154,$10:$10)-SUMIF($9:$9,$H$24,$10:$10)+100)/100</f>
        <v>1</v>
      </c>
      <c r="J154" s="662"/>
      <c r="K154" s="21">
        <f t="shared" ref="K154:K217" si="30">(SUMIF($11:$11,J154,$12:$12)-SUMIF($11:$11,$J$24,$12:$12)+100)/100</f>
        <v>1</v>
      </c>
      <c r="L154" s="662"/>
      <c r="M154" s="21">
        <f t="shared" ref="M154:M217" si="31">(SUMIF($13:$13,L154,$14:$14)-SUMIF($13:$13,$L$24,$14:$14)+100)/100</f>
        <v>1</v>
      </c>
      <c r="N154" s="662"/>
      <c r="O154" s="21">
        <f t="shared" ref="O154:O217" si="32">(SUMIF($15:$15,N154,$16:$16)-SUMIF($15:$15,$N$24,$16:$16)+100)/100</f>
        <v>1</v>
      </c>
      <c r="P154" s="662"/>
      <c r="Q154" s="21">
        <f t="shared" ref="Q154:Q217" si="33">(SUMIF($17:$17,P154,$18:$18)-SUMIF($17:$17,$P$24,$18:$18)+100)/100</f>
        <v>0.06</v>
      </c>
      <c r="R154" s="659">
        <f t="shared" ref="R154:R217" si="34">IF(B154="",0,ROUND($R$24*C154*E154*G154*I154*K154*M154*O154*Q154,0))</f>
        <v>0</v>
      </c>
      <c r="S154" s="316">
        <f t="shared" si="25"/>
        <v>0</v>
      </c>
    </row>
    <row r="155" spans="1:19">
      <c r="A155" s="150"/>
      <c r="B155" s="54"/>
      <c r="C155" s="21">
        <f t="shared" si="26"/>
        <v>1</v>
      </c>
      <c r="D155" s="662"/>
      <c r="E155" s="21">
        <f t="shared" si="27"/>
        <v>1</v>
      </c>
      <c r="F155" s="662"/>
      <c r="G155" s="21">
        <f t="shared" si="28"/>
        <v>1</v>
      </c>
      <c r="H155" s="662"/>
      <c r="I155" s="21">
        <f t="shared" si="29"/>
        <v>1</v>
      </c>
      <c r="J155" s="662"/>
      <c r="K155" s="21">
        <f t="shared" si="30"/>
        <v>1</v>
      </c>
      <c r="L155" s="662"/>
      <c r="M155" s="21">
        <f t="shared" si="31"/>
        <v>1</v>
      </c>
      <c r="N155" s="662"/>
      <c r="O155" s="21">
        <f t="shared" si="32"/>
        <v>1</v>
      </c>
      <c r="P155" s="662"/>
      <c r="Q155" s="21">
        <f t="shared" si="33"/>
        <v>0.06</v>
      </c>
      <c r="R155" s="659">
        <f t="shared" si="34"/>
        <v>0</v>
      </c>
      <c r="S155" s="316">
        <f t="shared" si="25"/>
        <v>0</v>
      </c>
    </row>
    <row r="156" spans="1:19">
      <c r="A156" s="150"/>
      <c r="B156" s="54"/>
      <c r="C156" s="21">
        <f t="shared" si="26"/>
        <v>1</v>
      </c>
      <c r="D156" s="662"/>
      <c r="E156" s="21">
        <f t="shared" si="27"/>
        <v>1</v>
      </c>
      <c r="F156" s="662"/>
      <c r="G156" s="21">
        <f t="shared" si="28"/>
        <v>1</v>
      </c>
      <c r="H156" s="662"/>
      <c r="I156" s="21">
        <f t="shared" si="29"/>
        <v>1</v>
      </c>
      <c r="J156" s="662"/>
      <c r="K156" s="21">
        <f t="shared" si="30"/>
        <v>1</v>
      </c>
      <c r="L156" s="662"/>
      <c r="M156" s="21">
        <f t="shared" si="31"/>
        <v>1</v>
      </c>
      <c r="N156" s="662"/>
      <c r="O156" s="21">
        <f t="shared" si="32"/>
        <v>1</v>
      </c>
      <c r="P156" s="662"/>
      <c r="Q156" s="21">
        <f t="shared" si="33"/>
        <v>0.06</v>
      </c>
      <c r="R156" s="659">
        <f t="shared" si="34"/>
        <v>0</v>
      </c>
      <c r="S156" s="316">
        <f t="shared" si="25"/>
        <v>0</v>
      </c>
    </row>
    <row r="157" spans="1:19">
      <c r="A157" s="150"/>
      <c r="B157" s="54"/>
      <c r="C157" s="21">
        <f t="shared" si="26"/>
        <v>1</v>
      </c>
      <c r="D157" s="662"/>
      <c r="E157" s="21">
        <f t="shared" si="27"/>
        <v>1</v>
      </c>
      <c r="F157" s="662"/>
      <c r="G157" s="21">
        <f t="shared" si="28"/>
        <v>1</v>
      </c>
      <c r="H157" s="662"/>
      <c r="I157" s="21">
        <f t="shared" si="29"/>
        <v>1</v>
      </c>
      <c r="J157" s="662"/>
      <c r="K157" s="21">
        <f t="shared" si="30"/>
        <v>1</v>
      </c>
      <c r="L157" s="662"/>
      <c r="M157" s="21">
        <f t="shared" si="31"/>
        <v>1</v>
      </c>
      <c r="N157" s="662"/>
      <c r="O157" s="21">
        <f t="shared" si="32"/>
        <v>1</v>
      </c>
      <c r="P157" s="662"/>
      <c r="Q157" s="21">
        <f t="shared" si="33"/>
        <v>0.06</v>
      </c>
      <c r="R157" s="659">
        <f t="shared" si="34"/>
        <v>0</v>
      </c>
      <c r="S157" s="316">
        <f t="shared" si="25"/>
        <v>0</v>
      </c>
    </row>
    <row r="158" spans="1:19">
      <c r="A158" s="150"/>
      <c r="B158" s="54"/>
      <c r="C158" s="21">
        <f t="shared" si="26"/>
        <v>1</v>
      </c>
      <c r="D158" s="662"/>
      <c r="E158" s="21">
        <f t="shared" si="27"/>
        <v>1</v>
      </c>
      <c r="F158" s="662"/>
      <c r="G158" s="21">
        <f t="shared" si="28"/>
        <v>1</v>
      </c>
      <c r="H158" s="662"/>
      <c r="I158" s="21">
        <f t="shared" si="29"/>
        <v>1</v>
      </c>
      <c r="J158" s="662"/>
      <c r="K158" s="21">
        <f t="shared" si="30"/>
        <v>1</v>
      </c>
      <c r="L158" s="662"/>
      <c r="M158" s="21">
        <f t="shared" si="31"/>
        <v>1</v>
      </c>
      <c r="N158" s="662"/>
      <c r="O158" s="21">
        <f t="shared" si="32"/>
        <v>1</v>
      </c>
      <c r="P158" s="662"/>
      <c r="Q158" s="21">
        <f t="shared" si="33"/>
        <v>0.06</v>
      </c>
      <c r="R158" s="659">
        <f t="shared" si="34"/>
        <v>0</v>
      </c>
      <c r="S158" s="316">
        <f t="shared" si="25"/>
        <v>0</v>
      </c>
    </row>
    <row r="159" spans="1:19">
      <c r="A159" s="150"/>
      <c r="B159" s="54"/>
      <c r="C159" s="21">
        <f t="shared" si="26"/>
        <v>1</v>
      </c>
      <c r="D159" s="662"/>
      <c r="E159" s="21">
        <f t="shared" si="27"/>
        <v>1</v>
      </c>
      <c r="F159" s="662"/>
      <c r="G159" s="21">
        <f t="shared" si="28"/>
        <v>1</v>
      </c>
      <c r="H159" s="662"/>
      <c r="I159" s="21">
        <f t="shared" si="29"/>
        <v>1</v>
      </c>
      <c r="J159" s="662"/>
      <c r="K159" s="21">
        <f t="shared" si="30"/>
        <v>1</v>
      </c>
      <c r="L159" s="662"/>
      <c r="M159" s="21">
        <f t="shared" si="31"/>
        <v>1</v>
      </c>
      <c r="N159" s="662"/>
      <c r="O159" s="21">
        <f t="shared" si="32"/>
        <v>1</v>
      </c>
      <c r="P159" s="662"/>
      <c r="Q159" s="21">
        <f t="shared" si="33"/>
        <v>0.06</v>
      </c>
      <c r="R159" s="659">
        <f t="shared" si="34"/>
        <v>0</v>
      </c>
      <c r="S159" s="316">
        <f t="shared" si="25"/>
        <v>0</v>
      </c>
    </row>
    <row r="160" spans="1:19">
      <c r="A160" s="150"/>
      <c r="B160" s="54"/>
      <c r="C160" s="21">
        <f t="shared" si="26"/>
        <v>1</v>
      </c>
      <c r="D160" s="662"/>
      <c r="E160" s="21">
        <f t="shared" si="27"/>
        <v>1</v>
      </c>
      <c r="F160" s="662"/>
      <c r="G160" s="21">
        <f t="shared" si="28"/>
        <v>1</v>
      </c>
      <c r="H160" s="662"/>
      <c r="I160" s="21">
        <f t="shared" si="29"/>
        <v>1</v>
      </c>
      <c r="J160" s="662"/>
      <c r="K160" s="21">
        <f t="shared" si="30"/>
        <v>1</v>
      </c>
      <c r="L160" s="662"/>
      <c r="M160" s="21">
        <f t="shared" si="31"/>
        <v>1</v>
      </c>
      <c r="N160" s="662"/>
      <c r="O160" s="21">
        <f t="shared" si="32"/>
        <v>1</v>
      </c>
      <c r="P160" s="662"/>
      <c r="Q160" s="21">
        <f t="shared" si="33"/>
        <v>0.06</v>
      </c>
      <c r="R160" s="659">
        <f t="shared" si="34"/>
        <v>0</v>
      </c>
      <c r="S160" s="316">
        <f t="shared" si="25"/>
        <v>0</v>
      </c>
    </row>
    <row r="161" spans="1:19">
      <c r="A161" s="150"/>
      <c r="B161" s="54"/>
      <c r="C161" s="21">
        <f t="shared" si="26"/>
        <v>1</v>
      </c>
      <c r="D161" s="662"/>
      <c r="E161" s="21">
        <f t="shared" si="27"/>
        <v>1</v>
      </c>
      <c r="F161" s="662"/>
      <c r="G161" s="21">
        <f t="shared" si="28"/>
        <v>1</v>
      </c>
      <c r="H161" s="662"/>
      <c r="I161" s="21">
        <f t="shared" si="29"/>
        <v>1</v>
      </c>
      <c r="J161" s="662"/>
      <c r="K161" s="21">
        <f t="shared" si="30"/>
        <v>1</v>
      </c>
      <c r="L161" s="662"/>
      <c r="M161" s="21">
        <f t="shared" si="31"/>
        <v>1</v>
      </c>
      <c r="N161" s="662"/>
      <c r="O161" s="21">
        <f t="shared" si="32"/>
        <v>1</v>
      </c>
      <c r="P161" s="662"/>
      <c r="Q161" s="21">
        <f t="shared" si="33"/>
        <v>0.06</v>
      </c>
      <c r="R161" s="659">
        <f t="shared" si="34"/>
        <v>0</v>
      </c>
      <c r="S161" s="316">
        <f t="shared" si="25"/>
        <v>0</v>
      </c>
    </row>
    <row r="162" spans="1:19">
      <c r="A162" s="150"/>
      <c r="B162" s="54"/>
      <c r="C162" s="21">
        <f t="shared" si="26"/>
        <v>1</v>
      </c>
      <c r="D162" s="662"/>
      <c r="E162" s="21">
        <f t="shared" si="27"/>
        <v>1</v>
      </c>
      <c r="F162" s="662"/>
      <c r="G162" s="21">
        <f t="shared" si="28"/>
        <v>1</v>
      </c>
      <c r="H162" s="662"/>
      <c r="I162" s="21">
        <f t="shared" si="29"/>
        <v>1</v>
      </c>
      <c r="J162" s="662"/>
      <c r="K162" s="21">
        <f t="shared" si="30"/>
        <v>1</v>
      </c>
      <c r="L162" s="662"/>
      <c r="M162" s="21">
        <f t="shared" si="31"/>
        <v>1</v>
      </c>
      <c r="N162" s="662"/>
      <c r="O162" s="21">
        <f t="shared" si="32"/>
        <v>1</v>
      </c>
      <c r="P162" s="662"/>
      <c r="Q162" s="21">
        <f t="shared" si="33"/>
        <v>0.06</v>
      </c>
      <c r="R162" s="659">
        <f t="shared" si="34"/>
        <v>0</v>
      </c>
      <c r="S162" s="316">
        <f t="shared" si="25"/>
        <v>0</v>
      </c>
    </row>
    <row r="163" spans="1:19">
      <c r="A163" s="150"/>
      <c r="B163" s="54"/>
      <c r="C163" s="21">
        <f t="shared" si="26"/>
        <v>1</v>
      </c>
      <c r="D163" s="662"/>
      <c r="E163" s="21">
        <f t="shared" si="27"/>
        <v>1</v>
      </c>
      <c r="F163" s="662"/>
      <c r="G163" s="21">
        <f t="shared" si="28"/>
        <v>1</v>
      </c>
      <c r="H163" s="662"/>
      <c r="I163" s="21">
        <f t="shared" si="29"/>
        <v>1</v>
      </c>
      <c r="J163" s="662"/>
      <c r="K163" s="21">
        <f t="shared" si="30"/>
        <v>1</v>
      </c>
      <c r="L163" s="662"/>
      <c r="M163" s="21">
        <f t="shared" si="31"/>
        <v>1</v>
      </c>
      <c r="N163" s="662"/>
      <c r="O163" s="21">
        <f t="shared" si="32"/>
        <v>1</v>
      </c>
      <c r="P163" s="662"/>
      <c r="Q163" s="21">
        <f t="shared" si="33"/>
        <v>0.06</v>
      </c>
      <c r="R163" s="659">
        <f t="shared" si="34"/>
        <v>0</v>
      </c>
      <c r="S163" s="316">
        <f t="shared" si="25"/>
        <v>0</v>
      </c>
    </row>
    <row r="164" spans="1:19">
      <c r="A164" s="150"/>
      <c r="B164" s="54"/>
      <c r="C164" s="21">
        <f t="shared" si="26"/>
        <v>1</v>
      </c>
      <c r="D164" s="662"/>
      <c r="E164" s="21">
        <f t="shared" si="27"/>
        <v>1</v>
      </c>
      <c r="F164" s="662"/>
      <c r="G164" s="21">
        <f t="shared" si="28"/>
        <v>1</v>
      </c>
      <c r="H164" s="662"/>
      <c r="I164" s="21">
        <f t="shared" si="29"/>
        <v>1</v>
      </c>
      <c r="J164" s="662"/>
      <c r="K164" s="21">
        <f t="shared" si="30"/>
        <v>1</v>
      </c>
      <c r="L164" s="662"/>
      <c r="M164" s="21">
        <f t="shared" si="31"/>
        <v>1</v>
      </c>
      <c r="N164" s="662"/>
      <c r="O164" s="21">
        <f t="shared" si="32"/>
        <v>1</v>
      </c>
      <c r="P164" s="662"/>
      <c r="Q164" s="21">
        <f t="shared" si="33"/>
        <v>0.06</v>
      </c>
      <c r="R164" s="659">
        <f t="shared" si="34"/>
        <v>0</v>
      </c>
      <c r="S164" s="316">
        <f t="shared" si="25"/>
        <v>0</v>
      </c>
    </row>
    <row r="165" spans="1:19">
      <c r="A165" s="150"/>
      <c r="B165" s="54"/>
      <c r="C165" s="21">
        <f t="shared" si="26"/>
        <v>1</v>
      </c>
      <c r="D165" s="662"/>
      <c r="E165" s="21">
        <f t="shared" si="27"/>
        <v>1</v>
      </c>
      <c r="F165" s="662"/>
      <c r="G165" s="21">
        <f t="shared" si="28"/>
        <v>1</v>
      </c>
      <c r="H165" s="662"/>
      <c r="I165" s="21">
        <f t="shared" si="29"/>
        <v>1</v>
      </c>
      <c r="J165" s="662"/>
      <c r="K165" s="21">
        <f t="shared" si="30"/>
        <v>1</v>
      </c>
      <c r="L165" s="662"/>
      <c r="M165" s="21">
        <f t="shared" si="31"/>
        <v>1</v>
      </c>
      <c r="N165" s="662"/>
      <c r="O165" s="21">
        <f t="shared" si="32"/>
        <v>1</v>
      </c>
      <c r="P165" s="662"/>
      <c r="Q165" s="21">
        <f t="shared" si="33"/>
        <v>0.06</v>
      </c>
      <c r="R165" s="659">
        <f t="shared" si="34"/>
        <v>0</v>
      </c>
      <c r="S165" s="316">
        <f t="shared" si="25"/>
        <v>0</v>
      </c>
    </row>
    <row r="166" spans="1:19">
      <c r="A166" s="150"/>
      <c r="B166" s="54"/>
      <c r="C166" s="21">
        <f t="shared" si="26"/>
        <v>1</v>
      </c>
      <c r="D166" s="662"/>
      <c r="E166" s="21">
        <f t="shared" si="27"/>
        <v>1</v>
      </c>
      <c r="F166" s="662"/>
      <c r="G166" s="21">
        <f t="shared" si="28"/>
        <v>1</v>
      </c>
      <c r="H166" s="662"/>
      <c r="I166" s="21">
        <f t="shared" si="29"/>
        <v>1</v>
      </c>
      <c r="J166" s="662"/>
      <c r="K166" s="21">
        <f t="shared" si="30"/>
        <v>1</v>
      </c>
      <c r="L166" s="662"/>
      <c r="M166" s="21">
        <f t="shared" si="31"/>
        <v>1</v>
      </c>
      <c r="N166" s="662"/>
      <c r="O166" s="21">
        <f t="shared" si="32"/>
        <v>1</v>
      </c>
      <c r="P166" s="662"/>
      <c r="Q166" s="21">
        <f t="shared" si="33"/>
        <v>0.06</v>
      </c>
      <c r="R166" s="659">
        <f t="shared" si="34"/>
        <v>0</v>
      </c>
      <c r="S166" s="316">
        <f t="shared" si="25"/>
        <v>0</v>
      </c>
    </row>
    <row r="167" spans="1:19">
      <c r="A167" s="150"/>
      <c r="B167" s="54"/>
      <c r="C167" s="21">
        <f t="shared" si="26"/>
        <v>1</v>
      </c>
      <c r="D167" s="662"/>
      <c r="E167" s="21">
        <f t="shared" si="27"/>
        <v>1</v>
      </c>
      <c r="F167" s="662"/>
      <c r="G167" s="21">
        <f t="shared" si="28"/>
        <v>1</v>
      </c>
      <c r="H167" s="662"/>
      <c r="I167" s="21">
        <f t="shared" si="29"/>
        <v>1</v>
      </c>
      <c r="J167" s="662"/>
      <c r="K167" s="21">
        <f t="shared" si="30"/>
        <v>1</v>
      </c>
      <c r="L167" s="662"/>
      <c r="M167" s="21">
        <f t="shared" si="31"/>
        <v>1</v>
      </c>
      <c r="N167" s="662"/>
      <c r="O167" s="21">
        <f t="shared" si="32"/>
        <v>1</v>
      </c>
      <c r="P167" s="662"/>
      <c r="Q167" s="21">
        <f t="shared" si="33"/>
        <v>0.06</v>
      </c>
      <c r="R167" s="659">
        <f t="shared" si="34"/>
        <v>0</v>
      </c>
      <c r="S167" s="316">
        <f t="shared" si="25"/>
        <v>0</v>
      </c>
    </row>
    <row r="168" spans="1:19">
      <c r="A168" s="150"/>
      <c r="B168" s="54"/>
      <c r="C168" s="21">
        <f t="shared" si="26"/>
        <v>1</v>
      </c>
      <c r="D168" s="662"/>
      <c r="E168" s="21">
        <f t="shared" si="27"/>
        <v>1</v>
      </c>
      <c r="F168" s="662"/>
      <c r="G168" s="21">
        <f t="shared" si="28"/>
        <v>1</v>
      </c>
      <c r="H168" s="662"/>
      <c r="I168" s="21">
        <f t="shared" si="29"/>
        <v>1</v>
      </c>
      <c r="J168" s="662"/>
      <c r="K168" s="21">
        <f t="shared" si="30"/>
        <v>1</v>
      </c>
      <c r="L168" s="662"/>
      <c r="M168" s="21">
        <f t="shared" si="31"/>
        <v>1</v>
      </c>
      <c r="N168" s="662"/>
      <c r="O168" s="21">
        <f t="shared" si="32"/>
        <v>1</v>
      </c>
      <c r="P168" s="662"/>
      <c r="Q168" s="21">
        <f t="shared" si="33"/>
        <v>0.06</v>
      </c>
      <c r="R168" s="659">
        <f t="shared" si="34"/>
        <v>0</v>
      </c>
      <c r="S168" s="316">
        <f t="shared" si="25"/>
        <v>0</v>
      </c>
    </row>
    <row r="169" spans="1:19">
      <c r="A169" s="150"/>
      <c r="B169" s="54"/>
      <c r="C169" s="21">
        <f t="shared" si="26"/>
        <v>1</v>
      </c>
      <c r="D169" s="662"/>
      <c r="E169" s="21">
        <f t="shared" si="27"/>
        <v>1</v>
      </c>
      <c r="F169" s="662"/>
      <c r="G169" s="21">
        <f t="shared" si="28"/>
        <v>1</v>
      </c>
      <c r="H169" s="662"/>
      <c r="I169" s="21">
        <f t="shared" si="29"/>
        <v>1</v>
      </c>
      <c r="J169" s="662"/>
      <c r="K169" s="21">
        <f t="shared" si="30"/>
        <v>1</v>
      </c>
      <c r="L169" s="662"/>
      <c r="M169" s="21">
        <f t="shared" si="31"/>
        <v>1</v>
      </c>
      <c r="N169" s="662"/>
      <c r="O169" s="21">
        <f t="shared" si="32"/>
        <v>1</v>
      </c>
      <c r="P169" s="662"/>
      <c r="Q169" s="21">
        <f t="shared" si="33"/>
        <v>0.06</v>
      </c>
      <c r="R169" s="659">
        <f t="shared" si="34"/>
        <v>0</v>
      </c>
      <c r="S169" s="316">
        <f t="shared" si="25"/>
        <v>0</v>
      </c>
    </row>
    <row r="170" spans="1:19">
      <c r="A170" s="150"/>
      <c r="B170" s="54"/>
      <c r="C170" s="21">
        <f t="shared" si="26"/>
        <v>1</v>
      </c>
      <c r="D170" s="662"/>
      <c r="E170" s="21">
        <f t="shared" si="27"/>
        <v>1</v>
      </c>
      <c r="F170" s="662"/>
      <c r="G170" s="21">
        <f t="shared" si="28"/>
        <v>1</v>
      </c>
      <c r="H170" s="662"/>
      <c r="I170" s="21">
        <f t="shared" si="29"/>
        <v>1</v>
      </c>
      <c r="J170" s="662"/>
      <c r="K170" s="21">
        <f t="shared" si="30"/>
        <v>1</v>
      </c>
      <c r="L170" s="662"/>
      <c r="M170" s="21">
        <f t="shared" si="31"/>
        <v>1</v>
      </c>
      <c r="N170" s="662"/>
      <c r="O170" s="21">
        <f t="shared" si="32"/>
        <v>1</v>
      </c>
      <c r="P170" s="662"/>
      <c r="Q170" s="21">
        <f t="shared" si="33"/>
        <v>0.06</v>
      </c>
      <c r="R170" s="659">
        <f t="shared" si="34"/>
        <v>0</v>
      </c>
      <c r="S170" s="316">
        <f t="shared" si="25"/>
        <v>0</v>
      </c>
    </row>
    <row r="171" spans="1:19">
      <c r="A171" s="150"/>
      <c r="B171" s="54"/>
      <c r="C171" s="21">
        <f t="shared" si="26"/>
        <v>1</v>
      </c>
      <c r="D171" s="662"/>
      <c r="E171" s="21">
        <f t="shared" si="27"/>
        <v>1</v>
      </c>
      <c r="F171" s="662"/>
      <c r="G171" s="21">
        <f t="shared" si="28"/>
        <v>1</v>
      </c>
      <c r="H171" s="662"/>
      <c r="I171" s="21">
        <f t="shared" si="29"/>
        <v>1</v>
      </c>
      <c r="J171" s="662"/>
      <c r="K171" s="21">
        <f t="shared" si="30"/>
        <v>1</v>
      </c>
      <c r="L171" s="662"/>
      <c r="M171" s="21">
        <f t="shared" si="31"/>
        <v>1</v>
      </c>
      <c r="N171" s="662"/>
      <c r="O171" s="21">
        <f t="shared" si="32"/>
        <v>1</v>
      </c>
      <c r="P171" s="662"/>
      <c r="Q171" s="21">
        <f t="shared" si="33"/>
        <v>0.06</v>
      </c>
      <c r="R171" s="659">
        <f t="shared" si="34"/>
        <v>0</v>
      </c>
      <c r="S171" s="316">
        <f t="shared" si="25"/>
        <v>0</v>
      </c>
    </row>
    <row r="172" spans="1:19">
      <c r="A172" s="150"/>
      <c r="B172" s="54"/>
      <c r="C172" s="21">
        <f t="shared" si="26"/>
        <v>1</v>
      </c>
      <c r="D172" s="662"/>
      <c r="E172" s="21">
        <f t="shared" si="27"/>
        <v>1</v>
      </c>
      <c r="F172" s="662"/>
      <c r="G172" s="21">
        <f t="shared" si="28"/>
        <v>1</v>
      </c>
      <c r="H172" s="662"/>
      <c r="I172" s="21">
        <f t="shared" si="29"/>
        <v>1</v>
      </c>
      <c r="J172" s="662"/>
      <c r="K172" s="21">
        <f t="shared" si="30"/>
        <v>1</v>
      </c>
      <c r="L172" s="662"/>
      <c r="M172" s="21">
        <f t="shared" si="31"/>
        <v>1</v>
      </c>
      <c r="N172" s="662"/>
      <c r="O172" s="21">
        <f t="shared" si="32"/>
        <v>1</v>
      </c>
      <c r="P172" s="662"/>
      <c r="Q172" s="21">
        <f t="shared" si="33"/>
        <v>0.06</v>
      </c>
      <c r="R172" s="659">
        <f t="shared" si="34"/>
        <v>0</v>
      </c>
      <c r="S172" s="316">
        <f t="shared" si="25"/>
        <v>0</v>
      </c>
    </row>
    <row r="173" spans="1:19">
      <c r="A173" s="150"/>
      <c r="B173" s="54"/>
      <c r="C173" s="21">
        <f t="shared" si="26"/>
        <v>1</v>
      </c>
      <c r="D173" s="662"/>
      <c r="E173" s="21">
        <f t="shared" si="27"/>
        <v>1</v>
      </c>
      <c r="F173" s="662"/>
      <c r="G173" s="21">
        <f t="shared" si="28"/>
        <v>1</v>
      </c>
      <c r="H173" s="662"/>
      <c r="I173" s="21">
        <f t="shared" si="29"/>
        <v>1</v>
      </c>
      <c r="J173" s="662"/>
      <c r="K173" s="21">
        <f t="shared" si="30"/>
        <v>1</v>
      </c>
      <c r="L173" s="662"/>
      <c r="M173" s="21">
        <f t="shared" si="31"/>
        <v>1</v>
      </c>
      <c r="N173" s="662"/>
      <c r="O173" s="21">
        <f t="shared" si="32"/>
        <v>1</v>
      </c>
      <c r="P173" s="662"/>
      <c r="Q173" s="21">
        <f t="shared" si="33"/>
        <v>0.06</v>
      </c>
      <c r="R173" s="659">
        <f t="shared" si="34"/>
        <v>0</v>
      </c>
      <c r="S173" s="316">
        <f t="shared" si="25"/>
        <v>0</v>
      </c>
    </row>
    <row r="174" spans="1:19">
      <c r="A174" s="150"/>
      <c r="B174" s="54"/>
      <c r="C174" s="21">
        <f t="shared" si="26"/>
        <v>1</v>
      </c>
      <c r="D174" s="662"/>
      <c r="E174" s="21">
        <f t="shared" si="27"/>
        <v>1</v>
      </c>
      <c r="F174" s="662"/>
      <c r="G174" s="21">
        <f t="shared" si="28"/>
        <v>1</v>
      </c>
      <c r="H174" s="662"/>
      <c r="I174" s="21">
        <f t="shared" si="29"/>
        <v>1</v>
      </c>
      <c r="J174" s="662"/>
      <c r="K174" s="21">
        <f t="shared" si="30"/>
        <v>1</v>
      </c>
      <c r="L174" s="662"/>
      <c r="M174" s="21">
        <f t="shared" si="31"/>
        <v>1</v>
      </c>
      <c r="N174" s="662"/>
      <c r="O174" s="21">
        <f t="shared" si="32"/>
        <v>1</v>
      </c>
      <c r="P174" s="662"/>
      <c r="Q174" s="21">
        <f t="shared" si="33"/>
        <v>0.06</v>
      </c>
      <c r="R174" s="659">
        <f t="shared" si="34"/>
        <v>0</v>
      </c>
      <c r="S174" s="316">
        <f t="shared" si="25"/>
        <v>0</v>
      </c>
    </row>
    <row r="175" spans="1:19">
      <c r="A175" s="150"/>
      <c r="B175" s="54"/>
      <c r="C175" s="21">
        <f t="shared" si="26"/>
        <v>1</v>
      </c>
      <c r="D175" s="662"/>
      <c r="E175" s="21">
        <f t="shared" si="27"/>
        <v>1</v>
      </c>
      <c r="F175" s="662"/>
      <c r="G175" s="21">
        <f t="shared" si="28"/>
        <v>1</v>
      </c>
      <c r="H175" s="662"/>
      <c r="I175" s="21">
        <f t="shared" si="29"/>
        <v>1</v>
      </c>
      <c r="J175" s="662"/>
      <c r="K175" s="21">
        <f t="shared" si="30"/>
        <v>1</v>
      </c>
      <c r="L175" s="662"/>
      <c r="M175" s="21">
        <f t="shared" si="31"/>
        <v>1</v>
      </c>
      <c r="N175" s="662"/>
      <c r="O175" s="21">
        <f t="shared" si="32"/>
        <v>1</v>
      </c>
      <c r="P175" s="662"/>
      <c r="Q175" s="21">
        <f t="shared" si="33"/>
        <v>0.06</v>
      </c>
      <c r="R175" s="659">
        <f t="shared" si="34"/>
        <v>0</v>
      </c>
      <c r="S175" s="316">
        <f t="shared" si="25"/>
        <v>0</v>
      </c>
    </row>
    <row r="176" spans="1:19">
      <c r="A176" s="150"/>
      <c r="B176" s="54"/>
      <c r="C176" s="21">
        <f t="shared" si="26"/>
        <v>1</v>
      </c>
      <c r="D176" s="662"/>
      <c r="E176" s="21">
        <f t="shared" si="27"/>
        <v>1</v>
      </c>
      <c r="F176" s="662"/>
      <c r="G176" s="21">
        <f t="shared" si="28"/>
        <v>1</v>
      </c>
      <c r="H176" s="662"/>
      <c r="I176" s="21">
        <f t="shared" si="29"/>
        <v>1</v>
      </c>
      <c r="J176" s="662"/>
      <c r="K176" s="21">
        <f t="shared" si="30"/>
        <v>1</v>
      </c>
      <c r="L176" s="662"/>
      <c r="M176" s="21">
        <f t="shared" si="31"/>
        <v>1</v>
      </c>
      <c r="N176" s="662"/>
      <c r="O176" s="21">
        <f t="shared" si="32"/>
        <v>1</v>
      </c>
      <c r="P176" s="662"/>
      <c r="Q176" s="21">
        <f t="shared" si="33"/>
        <v>0.06</v>
      </c>
      <c r="R176" s="659">
        <f t="shared" si="34"/>
        <v>0</v>
      </c>
      <c r="S176" s="316">
        <f t="shared" si="25"/>
        <v>0</v>
      </c>
    </row>
    <row r="177" spans="1:19">
      <c r="A177" s="150"/>
      <c r="B177" s="54"/>
      <c r="C177" s="21">
        <f t="shared" si="26"/>
        <v>1</v>
      </c>
      <c r="D177" s="662"/>
      <c r="E177" s="21">
        <f t="shared" si="27"/>
        <v>1</v>
      </c>
      <c r="F177" s="662"/>
      <c r="G177" s="21">
        <f t="shared" si="28"/>
        <v>1</v>
      </c>
      <c r="H177" s="662"/>
      <c r="I177" s="21">
        <f t="shared" si="29"/>
        <v>1</v>
      </c>
      <c r="J177" s="662"/>
      <c r="K177" s="21">
        <f t="shared" si="30"/>
        <v>1</v>
      </c>
      <c r="L177" s="662"/>
      <c r="M177" s="21">
        <f t="shared" si="31"/>
        <v>1</v>
      </c>
      <c r="N177" s="662"/>
      <c r="O177" s="21">
        <f t="shared" si="32"/>
        <v>1</v>
      </c>
      <c r="P177" s="662"/>
      <c r="Q177" s="21">
        <f t="shared" si="33"/>
        <v>0.06</v>
      </c>
      <c r="R177" s="659">
        <f t="shared" si="34"/>
        <v>0</v>
      </c>
      <c r="S177" s="316">
        <f t="shared" si="25"/>
        <v>0</v>
      </c>
    </row>
    <row r="178" spans="1:19">
      <c r="A178" s="150"/>
      <c r="B178" s="54"/>
      <c r="C178" s="21">
        <f t="shared" si="26"/>
        <v>1</v>
      </c>
      <c r="D178" s="662"/>
      <c r="E178" s="21">
        <f t="shared" si="27"/>
        <v>1</v>
      </c>
      <c r="F178" s="662"/>
      <c r="G178" s="21">
        <f t="shared" si="28"/>
        <v>1</v>
      </c>
      <c r="H178" s="662"/>
      <c r="I178" s="21">
        <f t="shared" si="29"/>
        <v>1</v>
      </c>
      <c r="J178" s="662"/>
      <c r="K178" s="21">
        <f t="shared" si="30"/>
        <v>1</v>
      </c>
      <c r="L178" s="662"/>
      <c r="M178" s="21">
        <f t="shared" si="31"/>
        <v>1</v>
      </c>
      <c r="N178" s="662"/>
      <c r="O178" s="21">
        <f t="shared" si="32"/>
        <v>1</v>
      </c>
      <c r="P178" s="662"/>
      <c r="Q178" s="21">
        <f t="shared" si="33"/>
        <v>0.06</v>
      </c>
      <c r="R178" s="659">
        <f t="shared" si="34"/>
        <v>0</v>
      </c>
      <c r="S178" s="316">
        <f t="shared" si="25"/>
        <v>0</v>
      </c>
    </row>
    <row r="179" spans="1:19">
      <c r="A179" s="150"/>
      <c r="B179" s="54"/>
      <c r="C179" s="21">
        <f t="shared" si="26"/>
        <v>1</v>
      </c>
      <c r="D179" s="662"/>
      <c r="E179" s="21">
        <f t="shared" si="27"/>
        <v>1</v>
      </c>
      <c r="F179" s="662"/>
      <c r="G179" s="21">
        <f t="shared" si="28"/>
        <v>1</v>
      </c>
      <c r="H179" s="662"/>
      <c r="I179" s="21">
        <f t="shared" si="29"/>
        <v>1</v>
      </c>
      <c r="J179" s="662"/>
      <c r="K179" s="21">
        <f t="shared" si="30"/>
        <v>1</v>
      </c>
      <c r="L179" s="662"/>
      <c r="M179" s="21">
        <f t="shared" si="31"/>
        <v>1</v>
      </c>
      <c r="N179" s="662"/>
      <c r="O179" s="21">
        <f t="shared" si="32"/>
        <v>1</v>
      </c>
      <c r="P179" s="662"/>
      <c r="Q179" s="21">
        <f t="shared" si="33"/>
        <v>0.06</v>
      </c>
      <c r="R179" s="659">
        <f t="shared" si="34"/>
        <v>0</v>
      </c>
      <c r="S179" s="316">
        <f t="shared" si="25"/>
        <v>0</v>
      </c>
    </row>
    <row r="180" spans="1:19">
      <c r="A180" s="150"/>
      <c r="B180" s="54"/>
      <c r="C180" s="21">
        <f t="shared" si="26"/>
        <v>1</v>
      </c>
      <c r="D180" s="662"/>
      <c r="E180" s="21">
        <f t="shared" si="27"/>
        <v>1</v>
      </c>
      <c r="F180" s="662"/>
      <c r="G180" s="21">
        <f t="shared" si="28"/>
        <v>1</v>
      </c>
      <c r="H180" s="662"/>
      <c r="I180" s="21">
        <f t="shared" si="29"/>
        <v>1</v>
      </c>
      <c r="J180" s="662"/>
      <c r="K180" s="21">
        <f t="shared" si="30"/>
        <v>1</v>
      </c>
      <c r="L180" s="662"/>
      <c r="M180" s="21">
        <f t="shared" si="31"/>
        <v>1</v>
      </c>
      <c r="N180" s="662"/>
      <c r="O180" s="21">
        <f t="shared" si="32"/>
        <v>1</v>
      </c>
      <c r="P180" s="662"/>
      <c r="Q180" s="21">
        <f t="shared" si="33"/>
        <v>0.06</v>
      </c>
      <c r="R180" s="659">
        <f t="shared" si="34"/>
        <v>0</v>
      </c>
      <c r="S180" s="316">
        <f t="shared" si="25"/>
        <v>0</v>
      </c>
    </row>
    <row r="181" spans="1:19">
      <c r="A181" s="150"/>
      <c r="B181" s="54"/>
      <c r="C181" s="21">
        <f t="shared" si="26"/>
        <v>1</v>
      </c>
      <c r="D181" s="662"/>
      <c r="E181" s="21">
        <f t="shared" si="27"/>
        <v>1</v>
      </c>
      <c r="F181" s="662"/>
      <c r="G181" s="21">
        <f t="shared" si="28"/>
        <v>1</v>
      </c>
      <c r="H181" s="662"/>
      <c r="I181" s="21">
        <f t="shared" si="29"/>
        <v>1</v>
      </c>
      <c r="J181" s="662"/>
      <c r="K181" s="21">
        <f t="shared" si="30"/>
        <v>1</v>
      </c>
      <c r="L181" s="662"/>
      <c r="M181" s="21">
        <f t="shared" si="31"/>
        <v>1</v>
      </c>
      <c r="N181" s="662"/>
      <c r="O181" s="21">
        <f t="shared" si="32"/>
        <v>1</v>
      </c>
      <c r="P181" s="662"/>
      <c r="Q181" s="21">
        <f t="shared" si="33"/>
        <v>0.06</v>
      </c>
      <c r="R181" s="659">
        <f t="shared" si="34"/>
        <v>0</v>
      </c>
      <c r="S181" s="316">
        <f t="shared" si="25"/>
        <v>0</v>
      </c>
    </row>
    <row r="182" spans="1:19">
      <c r="A182" s="150"/>
      <c r="B182" s="54"/>
      <c r="C182" s="21">
        <f t="shared" si="26"/>
        <v>1</v>
      </c>
      <c r="D182" s="662"/>
      <c r="E182" s="21">
        <f t="shared" si="27"/>
        <v>1</v>
      </c>
      <c r="F182" s="662"/>
      <c r="G182" s="21">
        <f t="shared" si="28"/>
        <v>1</v>
      </c>
      <c r="H182" s="662"/>
      <c r="I182" s="21">
        <f t="shared" si="29"/>
        <v>1</v>
      </c>
      <c r="J182" s="662"/>
      <c r="K182" s="21">
        <f t="shared" si="30"/>
        <v>1</v>
      </c>
      <c r="L182" s="662"/>
      <c r="M182" s="21">
        <f t="shared" si="31"/>
        <v>1</v>
      </c>
      <c r="N182" s="662"/>
      <c r="O182" s="21">
        <f t="shared" si="32"/>
        <v>1</v>
      </c>
      <c r="P182" s="662"/>
      <c r="Q182" s="21">
        <f t="shared" si="33"/>
        <v>0.06</v>
      </c>
      <c r="R182" s="659">
        <f t="shared" si="34"/>
        <v>0</v>
      </c>
      <c r="S182" s="316">
        <f t="shared" si="25"/>
        <v>0</v>
      </c>
    </row>
    <row r="183" spans="1:19">
      <c r="A183" s="150"/>
      <c r="B183" s="54"/>
      <c r="C183" s="21">
        <f t="shared" si="26"/>
        <v>1</v>
      </c>
      <c r="D183" s="662"/>
      <c r="E183" s="21">
        <f t="shared" si="27"/>
        <v>1</v>
      </c>
      <c r="F183" s="662"/>
      <c r="G183" s="21">
        <f t="shared" si="28"/>
        <v>1</v>
      </c>
      <c r="H183" s="662"/>
      <c r="I183" s="21">
        <f t="shared" si="29"/>
        <v>1</v>
      </c>
      <c r="J183" s="662"/>
      <c r="K183" s="21">
        <f t="shared" si="30"/>
        <v>1</v>
      </c>
      <c r="L183" s="662"/>
      <c r="M183" s="21">
        <f t="shared" si="31"/>
        <v>1</v>
      </c>
      <c r="N183" s="662"/>
      <c r="O183" s="21">
        <f t="shared" si="32"/>
        <v>1</v>
      </c>
      <c r="P183" s="662"/>
      <c r="Q183" s="21">
        <f t="shared" si="33"/>
        <v>0.06</v>
      </c>
      <c r="R183" s="659">
        <f t="shared" si="34"/>
        <v>0</v>
      </c>
      <c r="S183" s="316">
        <f t="shared" si="25"/>
        <v>0</v>
      </c>
    </row>
    <row r="184" spans="1:19">
      <c r="A184" s="150"/>
      <c r="B184" s="54"/>
      <c r="C184" s="21">
        <f t="shared" si="26"/>
        <v>1</v>
      </c>
      <c r="D184" s="662"/>
      <c r="E184" s="21">
        <f t="shared" si="27"/>
        <v>1</v>
      </c>
      <c r="F184" s="662"/>
      <c r="G184" s="21">
        <f t="shared" si="28"/>
        <v>1</v>
      </c>
      <c r="H184" s="662"/>
      <c r="I184" s="21">
        <f t="shared" si="29"/>
        <v>1</v>
      </c>
      <c r="J184" s="662"/>
      <c r="K184" s="21">
        <f t="shared" si="30"/>
        <v>1</v>
      </c>
      <c r="L184" s="662"/>
      <c r="M184" s="21">
        <f t="shared" si="31"/>
        <v>1</v>
      </c>
      <c r="N184" s="662"/>
      <c r="O184" s="21">
        <f t="shared" si="32"/>
        <v>1</v>
      </c>
      <c r="P184" s="662"/>
      <c r="Q184" s="21">
        <f t="shared" si="33"/>
        <v>0.06</v>
      </c>
      <c r="R184" s="659">
        <f t="shared" si="34"/>
        <v>0</v>
      </c>
      <c r="S184" s="316">
        <f t="shared" si="25"/>
        <v>0</v>
      </c>
    </row>
    <row r="185" spans="1:19">
      <c r="A185" s="150"/>
      <c r="B185" s="54"/>
      <c r="C185" s="21">
        <f t="shared" si="26"/>
        <v>1</v>
      </c>
      <c r="D185" s="662"/>
      <c r="E185" s="21">
        <f t="shared" si="27"/>
        <v>1</v>
      </c>
      <c r="F185" s="662"/>
      <c r="G185" s="21">
        <f t="shared" si="28"/>
        <v>1</v>
      </c>
      <c r="H185" s="662"/>
      <c r="I185" s="21">
        <f t="shared" si="29"/>
        <v>1</v>
      </c>
      <c r="J185" s="662"/>
      <c r="K185" s="21">
        <f t="shared" si="30"/>
        <v>1</v>
      </c>
      <c r="L185" s="662"/>
      <c r="M185" s="21">
        <f t="shared" si="31"/>
        <v>1</v>
      </c>
      <c r="N185" s="662"/>
      <c r="O185" s="21">
        <f t="shared" si="32"/>
        <v>1</v>
      </c>
      <c r="P185" s="662"/>
      <c r="Q185" s="21">
        <f t="shared" si="33"/>
        <v>0.06</v>
      </c>
      <c r="R185" s="659">
        <f t="shared" si="34"/>
        <v>0</v>
      </c>
      <c r="S185" s="316">
        <f t="shared" si="25"/>
        <v>0</v>
      </c>
    </row>
    <row r="186" spans="1:19">
      <c r="A186" s="150"/>
      <c r="B186" s="54"/>
      <c r="C186" s="21">
        <f t="shared" si="26"/>
        <v>1</v>
      </c>
      <c r="D186" s="662"/>
      <c r="E186" s="21">
        <f t="shared" si="27"/>
        <v>1</v>
      </c>
      <c r="F186" s="662"/>
      <c r="G186" s="21">
        <f t="shared" si="28"/>
        <v>1</v>
      </c>
      <c r="H186" s="662"/>
      <c r="I186" s="21">
        <f t="shared" si="29"/>
        <v>1</v>
      </c>
      <c r="J186" s="662"/>
      <c r="K186" s="21">
        <f t="shared" si="30"/>
        <v>1</v>
      </c>
      <c r="L186" s="662"/>
      <c r="M186" s="21">
        <f t="shared" si="31"/>
        <v>1</v>
      </c>
      <c r="N186" s="662"/>
      <c r="O186" s="21">
        <f t="shared" si="32"/>
        <v>1</v>
      </c>
      <c r="P186" s="662"/>
      <c r="Q186" s="21">
        <f t="shared" si="33"/>
        <v>0.06</v>
      </c>
      <c r="R186" s="659">
        <f t="shared" si="34"/>
        <v>0</v>
      </c>
      <c r="S186" s="316">
        <f t="shared" si="25"/>
        <v>0</v>
      </c>
    </row>
    <row r="187" spans="1:19">
      <c r="A187" s="150"/>
      <c r="B187" s="54"/>
      <c r="C187" s="21">
        <f t="shared" si="26"/>
        <v>1</v>
      </c>
      <c r="D187" s="662"/>
      <c r="E187" s="21">
        <f t="shared" si="27"/>
        <v>1</v>
      </c>
      <c r="F187" s="662"/>
      <c r="G187" s="21">
        <f t="shared" si="28"/>
        <v>1</v>
      </c>
      <c r="H187" s="662"/>
      <c r="I187" s="21">
        <f t="shared" si="29"/>
        <v>1</v>
      </c>
      <c r="J187" s="662"/>
      <c r="K187" s="21">
        <f t="shared" si="30"/>
        <v>1</v>
      </c>
      <c r="L187" s="662"/>
      <c r="M187" s="21">
        <f t="shared" si="31"/>
        <v>1</v>
      </c>
      <c r="N187" s="662"/>
      <c r="O187" s="21">
        <f t="shared" si="32"/>
        <v>1</v>
      </c>
      <c r="P187" s="662"/>
      <c r="Q187" s="21">
        <f t="shared" si="33"/>
        <v>0.06</v>
      </c>
      <c r="R187" s="659">
        <f t="shared" si="34"/>
        <v>0</v>
      </c>
      <c r="S187" s="316">
        <f t="shared" si="25"/>
        <v>0</v>
      </c>
    </row>
    <row r="188" spans="1:19">
      <c r="A188" s="150"/>
      <c r="B188" s="54"/>
      <c r="C188" s="21">
        <f t="shared" si="26"/>
        <v>1</v>
      </c>
      <c r="D188" s="662"/>
      <c r="E188" s="21">
        <f t="shared" si="27"/>
        <v>1</v>
      </c>
      <c r="F188" s="662"/>
      <c r="G188" s="21">
        <f t="shared" si="28"/>
        <v>1</v>
      </c>
      <c r="H188" s="662"/>
      <c r="I188" s="21">
        <f t="shared" si="29"/>
        <v>1</v>
      </c>
      <c r="J188" s="662"/>
      <c r="K188" s="21">
        <f t="shared" si="30"/>
        <v>1</v>
      </c>
      <c r="L188" s="662"/>
      <c r="M188" s="21">
        <f t="shared" si="31"/>
        <v>1</v>
      </c>
      <c r="N188" s="662"/>
      <c r="O188" s="21">
        <f t="shared" si="32"/>
        <v>1</v>
      </c>
      <c r="P188" s="662"/>
      <c r="Q188" s="21">
        <f t="shared" si="33"/>
        <v>0.06</v>
      </c>
      <c r="R188" s="659">
        <f t="shared" si="34"/>
        <v>0</v>
      </c>
      <c r="S188" s="316">
        <f t="shared" si="25"/>
        <v>0</v>
      </c>
    </row>
    <row r="189" spans="1:19">
      <c r="A189" s="150"/>
      <c r="B189" s="54"/>
      <c r="C189" s="21">
        <f t="shared" si="26"/>
        <v>1</v>
      </c>
      <c r="D189" s="662"/>
      <c r="E189" s="21">
        <f t="shared" si="27"/>
        <v>1</v>
      </c>
      <c r="F189" s="662"/>
      <c r="G189" s="21">
        <f t="shared" si="28"/>
        <v>1</v>
      </c>
      <c r="H189" s="662"/>
      <c r="I189" s="21">
        <f t="shared" si="29"/>
        <v>1</v>
      </c>
      <c r="J189" s="662"/>
      <c r="K189" s="21">
        <f t="shared" si="30"/>
        <v>1</v>
      </c>
      <c r="L189" s="662"/>
      <c r="M189" s="21">
        <f t="shared" si="31"/>
        <v>1</v>
      </c>
      <c r="N189" s="662"/>
      <c r="O189" s="21">
        <f t="shared" si="32"/>
        <v>1</v>
      </c>
      <c r="P189" s="662"/>
      <c r="Q189" s="21">
        <f t="shared" si="33"/>
        <v>0.06</v>
      </c>
      <c r="R189" s="659">
        <f t="shared" si="34"/>
        <v>0</v>
      </c>
      <c r="S189" s="316">
        <f t="shared" si="25"/>
        <v>0</v>
      </c>
    </row>
    <row r="190" spans="1:19">
      <c r="A190" s="150"/>
      <c r="B190" s="54"/>
      <c r="C190" s="21">
        <f t="shared" si="26"/>
        <v>1</v>
      </c>
      <c r="D190" s="662"/>
      <c r="E190" s="21">
        <f t="shared" si="27"/>
        <v>1</v>
      </c>
      <c r="F190" s="662"/>
      <c r="G190" s="21">
        <f t="shared" si="28"/>
        <v>1</v>
      </c>
      <c r="H190" s="662"/>
      <c r="I190" s="21">
        <f t="shared" si="29"/>
        <v>1</v>
      </c>
      <c r="J190" s="662"/>
      <c r="K190" s="21">
        <f t="shared" si="30"/>
        <v>1</v>
      </c>
      <c r="L190" s="662"/>
      <c r="M190" s="21">
        <f t="shared" si="31"/>
        <v>1</v>
      </c>
      <c r="N190" s="662"/>
      <c r="O190" s="21">
        <f t="shared" si="32"/>
        <v>1</v>
      </c>
      <c r="P190" s="662"/>
      <c r="Q190" s="21">
        <f t="shared" si="33"/>
        <v>0.06</v>
      </c>
      <c r="R190" s="659">
        <f t="shared" si="34"/>
        <v>0</v>
      </c>
      <c r="S190" s="316">
        <f t="shared" si="25"/>
        <v>0</v>
      </c>
    </row>
    <row r="191" spans="1:19">
      <c r="A191" s="150"/>
      <c r="B191" s="54"/>
      <c r="C191" s="21">
        <f t="shared" si="26"/>
        <v>1</v>
      </c>
      <c r="D191" s="662"/>
      <c r="E191" s="21">
        <f t="shared" si="27"/>
        <v>1</v>
      </c>
      <c r="F191" s="662"/>
      <c r="G191" s="21">
        <f t="shared" si="28"/>
        <v>1</v>
      </c>
      <c r="H191" s="662"/>
      <c r="I191" s="21">
        <f t="shared" si="29"/>
        <v>1</v>
      </c>
      <c r="J191" s="662"/>
      <c r="K191" s="21">
        <f t="shared" si="30"/>
        <v>1</v>
      </c>
      <c r="L191" s="662"/>
      <c r="M191" s="21">
        <f t="shared" si="31"/>
        <v>1</v>
      </c>
      <c r="N191" s="662"/>
      <c r="O191" s="21">
        <f t="shared" si="32"/>
        <v>1</v>
      </c>
      <c r="P191" s="662"/>
      <c r="Q191" s="21">
        <f t="shared" si="33"/>
        <v>0.06</v>
      </c>
      <c r="R191" s="659">
        <f t="shared" si="34"/>
        <v>0</v>
      </c>
      <c r="S191" s="316">
        <f t="shared" si="25"/>
        <v>0</v>
      </c>
    </row>
    <row r="192" spans="1:19">
      <c r="A192" s="150"/>
      <c r="B192" s="54"/>
      <c r="C192" s="21">
        <f t="shared" si="26"/>
        <v>1</v>
      </c>
      <c r="D192" s="662"/>
      <c r="E192" s="21">
        <f t="shared" si="27"/>
        <v>1</v>
      </c>
      <c r="F192" s="662"/>
      <c r="G192" s="21">
        <f t="shared" si="28"/>
        <v>1</v>
      </c>
      <c r="H192" s="662"/>
      <c r="I192" s="21">
        <f t="shared" si="29"/>
        <v>1</v>
      </c>
      <c r="J192" s="662"/>
      <c r="K192" s="21">
        <f t="shared" si="30"/>
        <v>1</v>
      </c>
      <c r="L192" s="662"/>
      <c r="M192" s="21">
        <f t="shared" si="31"/>
        <v>1</v>
      </c>
      <c r="N192" s="662"/>
      <c r="O192" s="21">
        <f t="shared" si="32"/>
        <v>1</v>
      </c>
      <c r="P192" s="662"/>
      <c r="Q192" s="21">
        <f t="shared" si="33"/>
        <v>0.06</v>
      </c>
      <c r="R192" s="659">
        <f t="shared" si="34"/>
        <v>0</v>
      </c>
      <c r="S192" s="316">
        <f t="shared" si="25"/>
        <v>0</v>
      </c>
    </row>
    <row r="193" spans="1:19">
      <c r="A193" s="150"/>
      <c r="B193" s="54"/>
      <c r="C193" s="21">
        <f t="shared" si="26"/>
        <v>1</v>
      </c>
      <c r="D193" s="662"/>
      <c r="E193" s="21">
        <f t="shared" si="27"/>
        <v>1</v>
      </c>
      <c r="F193" s="662"/>
      <c r="G193" s="21">
        <f t="shared" si="28"/>
        <v>1</v>
      </c>
      <c r="H193" s="662"/>
      <c r="I193" s="21">
        <f t="shared" si="29"/>
        <v>1</v>
      </c>
      <c r="J193" s="662"/>
      <c r="K193" s="21">
        <f t="shared" si="30"/>
        <v>1</v>
      </c>
      <c r="L193" s="662"/>
      <c r="M193" s="21">
        <f t="shared" si="31"/>
        <v>1</v>
      </c>
      <c r="N193" s="662"/>
      <c r="O193" s="21">
        <f t="shared" si="32"/>
        <v>1</v>
      </c>
      <c r="P193" s="662"/>
      <c r="Q193" s="21">
        <f t="shared" si="33"/>
        <v>0.06</v>
      </c>
      <c r="R193" s="659">
        <f t="shared" si="34"/>
        <v>0</v>
      </c>
      <c r="S193" s="316">
        <f t="shared" si="25"/>
        <v>0</v>
      </c>
    </row>
    <row r="194" spans="1:19">
      <c r="A194" s="150"/>
      <c r="B194" s="54"/>
      <c r="C194" s="21">
        <f t="shared" si="26"/>
        <v>1</v>
      </c>
      <c r="D194" s="662"/>
      <c r="E194" s="21">
        <f t="shared" si="27"/>
        <v>1</v>
      </c>
      <c r="F194" s="662"/>
      <c r="G194" s="21">
        <f t="shared" si="28"/>
        <v>1</v>
      </c>
      <c r="H194" s="662"/>
      <c r="I194" s="21">
        <f t="shared" si="29"/>
        <v>1</v>
      </c>
      <c r="J194" s="662"/>
      <c r="K194" s="21">
        <f t="shared" si="30"/>
        <v>1</v>
      </c>
      <c r="L194" s="662"/>
      <c r="M194" s="21">
        <f t="shared" si="31"/>
        <v>1</v>
      </c>
      <c r="N194" s="662"/>
      <c r="O194" s="21">
        <f t="shared" si="32"/>
        <v>1</v>
      </c>
      <c r="P194" s="662"/>
      <c r="Q194" s="21">
        <f t="shared" si="33"/>
        <v>0.06</v>
      </c>
      <c r="R194" s="659">
        <f t="shared" si="34"/>
        <v>0</v>
      </c>
      <c r="S194" s="316">
        <f t="shared" si="25"/>
        <v>0</v>
      </c>
    </row>
    <row r="195" spans="1:19">
      <c r="A195" s="150"/>
      <c r="B195" s="54"/>
      <c r="C195" s="21">
        <f t="shared" si="26"/>
        <v>1</v>
      </c>
      <c r="D195" s="662"/>
      <c r="E195" s="21">
        <f t="shared" si="27"/>
        <v>1</v>
      </c>
      <c r="F195" s="662"/>
      <c r="G195" s="21">
        <f t="shared" si="28"/>
        <v>1</v>
      </c>
      <c r="H195" s="662"/>
      <c r="I195" s="21">
        <f t="shared" si="29"/>
        <v>1</v>
      </c>
      <c r="J195" s="662"/>
      <c r="K195" s="21">
        <f t="shared" si="30"/>
        <v>1</v>
      </c>
      <c r="L195" s="662"/>
      <c r="M195" s="21">
        <f t="shared" si="31"/>
        <v>1</v>
      </c>
      <c r="N195" s="662"/>
      <c r="O195" s="21">
        <f t="shared" si="32"/>
        <v>1</v>
      </c>
      <c r="P195" s="662"/>
      <c r="Q195" s="21">
        <f t="shared" si="33"/>
        <v>0.06</v>
      </c>
      <c r="R195" s="659">
        <f t="shared" si="34"/>
        <v>0</v>
      </c>
      <c r="S195" s="316">
        <f t="shared" si="25"/>
        <v>0</v>
      </c>
    </row>
    <row r="196" spans="1:19">
      <c r="A196" s="150"/>
      <c r="B196" s="54"/>
      <c r="C196" s="21">
        <f t="shared" si="26"/>
        <v>1</v>
      </c>
      <c r="D196" s="662"/>
      <c r="E196" s="21">
        <f t="shared" si="27"/>
        <v>1</v>
      </c>
      <c r="F196" s="662"/>
      <c r="G196" s="21">
        <f t="shared" si="28"/>
        <v>1</v>
      </c>
      <c r="H196" s="662"/>
      <c r="I196" s="21">
        <f t="shared" si="29"/>
        <v>1</v>
      </c>
      <c r="J196" s="662"/>
      <c r="K196" s="21">
        <f t="shared" si="30"/>
        <v>1</v>
      </c>
      <c r="L196" s="662"/>
      <c r="M196" s="21">
        <f t="shared" si="31"/>
        <v>1</v>
      </c>
      <c r="N196" s="662"/>
      <c r="O196" s="21">
        <f t="shared" si="32"/>
        <v>1</v>
      </c>
      <c r="P196" s="662"/>
      <c r="Q196" s="21">
        <f t="shared" si="33"/>
        <v>0.06</v>
      </c>
      <c r="R196" s="659">
        <f t="shared" si="34"/>
        <v>0</v>
      </c>
      <c r="S196" s="316">
        <f t="shared" si="25"/>
        <v>0</v>
      </c>
    </row>
    <row r="197" spans="1:19">
      <c r="A197" s="150"/>
      <c r="B197" s="54"/>
      <c r="C197" s="21">
        <f t="shared" si="26"/>
        <v>1</v>
      </c>
      <c r="D197" s="662"/>
      <c r="E197" s="21">
        <f t="shared" si="27"/>
        <v>1</v>
      </c>
      <c r="F197" s="662"/>
      <c r="G197" s="21">
        <f t="shared" si="28"/>
        <v>1</v>
      </c>
      <c r="H197" s="662"/>
      <c r="I197" s="21">
        <f t="shared" si="29"/>
        <v>1</v>
      </c>
      <c r="J197" s="662"/>
      <c r="K197" s="21">
        <f t="shared" si="30"/>
        <v>1</v>
      </c>
      <c r="L197" s="662"/>
      <c r="M197" s="21">
        <f t="shared" si="31"/>
        <v>1</v>
      </c>
      <c r="N197" s="662"/>
      <c r="O197" s="21">
        <f t="shared" si="32"/>
        <v>1</v>
      </c>
      <c r="P197" s="662"/>
      <c r="Q197" s="21">
        <f t="shared" si="33"/>
        <v>0.06</v>
      </c>
      <c r="R197" s="659">
        <f t="shared" si="34"/>
        <v>0</v>
      </c>
      <c r="S197" s="316">
        <f t="shared" si="25"/>
        <v>0</v>
      </c>
    </row>
    <row r="198" spans="1:19">
      <c r="A198" s="150"/>
      <c r="B198" s="54"/>
      <c r="C198" s="21">
        <f t="shared" si="26"/>
        <v>1</v>
      </c>
      <c r="D198" s="662"/>
      <c r="E198" s="21">
        <f t="shared" si="27"/>
        <v>1</v>
      </c>
      <c r="F198" s="662"/>
      <c r="G198" s="21">
        <f t="shared" si="28"/>
        <v>1</v>
      </c>
      <c r="H198" s="662"/>
      <c r="I198" s="21">
        <f t="shared" si="29"/>
        <v>1</v>
      </c>
      <c r="J198" s="662"/>
      <c r="K198" s="21">
        <f t="shared" si="30"/>
        <v>1</v>
      </c>
      <c r="L198" s="662"/>
      <c r="M198" s="21">
        <f t="shared" si="31"/>
        <v>1</v>
      </c>
      <c r="N198" s="662"/>
      <c r="O198" s="21">
        <f t="shared" si="32"/>
        <v>1</v>
      </c>
      <c r="P198" s="662"/>
      <c r="Q198" s="21">
        <f t="shared" si="33"/>
        <v>0.06</v>
      </c>
      <c r="R198" s="659">
        <f t="shared" si="34"/>
        <v>0</v>
      </c>
      <c r="S198" s="316">
        <f t="shared" si="25"/>
        <v>0</v>
      </c>
    </row>
    <row r="199" spans="1:19">
      <c r="A199" s="150"/>
      <c r="B199" s="54"/>
      <c r="C199" s="21">
        <f t="shared" si="26"/>
        <v>1</v>
      </c>
      <c r="D199" s="662"/>
      <c r="E199" s="21">
        <f t="shared" si="27"/>
        <v>1</v>
      </c>
      <c r="F199" s="662"/>
      <c r="G199" s="21">
        <f t="shared" si="28"/>
        <v>1</v>
      </c>
      <c r="H199" s="662"/>
      <c r="I199" s="21">
        <f t="shared" si="29"/>
        <v>1</v>
      </c>
      <c r="J199" s="662"/>
      <c r="K199" s="21">
        <f t="shared" si="30"/>
        <v>1</v>
      </c>
      <c r="L199" s="662"/>
      <c r="M199" s="21">
        <f t="shared" si="31"/>
        <v>1</v>
      </c>
      <c r="N199" s="662"/>
      <c r="O199" s="21">
        <f t="shared" si="32"/>
        <v>1</v>
      </c>
      <c r="P199" s="662"/>
      <c r="Q199" s="21">
        <f t="shared" si="33"/>
        <v>0.06</v>
      </c>
      <c r="R199" s="659">
        <f t="shared" si="34"/>
        <v>0</v>
      </c>
      <c r="S199" s="316">
        <f t="shared" si="25"/>
        <v>0</v>
      </c>
    </row>
    <row r="200" spans="1:19">
      <c r="A200" s="150"/>
      <c r="B200" s="54"/>
      <c r="C200" s="21">
        <f t="shared" si="26"/>
        <v>1</v>
      </c>
      <c r="D200" s="662"/>
      <c r="E200" s="21">
        <f t="shared" si="27"/>
        <v>1</v>
      </c>
      <c r="F200" s="662"/>
      <c r="G200" s="21">
        <f t="shared" si="28"/>
        <v>1</v>
      </c>
      <c r="H200" s="662"/>
      <c r="I200" s="21">
        <f t="shared" si="29"/>
        <v>1</v>
      </c>
      <c r="J200" s="662"/>
      <c r="K200" s="21">
        <f t="shared" si="30"/>
        <v>1</v>
      </c>
      <c r="L200" s="662"/>
      <c r="M200" s="21">
        <f t="shared" si="31"/>
        <v>1</v>
      </c>
      <c r="N200" s="662"/>
      <c r="O200" s="21">
        <f t="shared" si="32"/>
        <v>1</v>
      </c>
      <c r="P200" s="662"/>
      <c r="Q200" s="21">
        <f t="shared" si="33"/>
        <v>0.06</v>
      </c>
      <c r="R200" s="659">
        <f t="shared" si="34"/>
        <v>0</v>
      </c>
      <c r="S200" s="316">
        <f t="shared" si="25"/>
        <v>0</v>
      </c>
    </row>
    <row r="201" spans="1:19">
      <c r="A201" s="150"/>
      <c r="B201" s="54"/>
      <c r="C201" s="21">
        <f t="shared" si="26"/>
        <v>1</v>
      </c>
      <c r="D201" s="662"/>
      <c r="E201" s="21">
        <f t="shared" si="27"/>
        <v>1</v>
      </c>
      <c r="F201" s="662"/>
      <c r="G201" s="21">
        <f t="shared" si="28"/>
        <v>1</v>
      </c>
      <c r="H201" s="662"/>
      <c r="I201" s="21">
        <f t="shared" si="29"/>
        <v>1</v>
      </c>
      <c r="J201" s="662"/>
      <c r="K201" s="21">
        <f t="shared" si="30"/>
        <v>1</v>
      </c>
      <c r="L201" s="662"/>
      <c r="M201" s="21">
        <f t="shared" si="31"/>
        <v>1</v>
      </c>
      <c r="N201" s="662"/>
      <c r="O201" s="21">
        <f t="shared" si="32"/>
        <v>1</v>
      </c>
      <c r="P201" s="662"/>
      <c r="Q201" s="21">
        <f t="shared" si="33"/>
        <v>0.06</v>
      </c>
      <c r="R201" s="659">
        <f t="shared" si="34"/>
        <v>0</v>
      </c>
      <c r="S201" s="316">
        <f t="shared" si="25"/>
        <v>0</v>
      </c>
    </row>
    <row r="202" spans="1:19">
      <c r="A202" s="150"/>
      <c r="B202" s="54"/>
      <c r="C202" s="21">
        <f t="shared" si="26"/>
        <v>1</v>
      </c>
      <c r="D202" s="662"/>
      <c r="E202" s="21">
        <f t="shared" si="27"/>
        <v>1</v>
      </c>
      <c r="F202" s="662"/>
      <c r="G202" s="21">
        <f t="shared" si="28"/>
        <v>1</v>
      </c>
      <c r="H202" s="662"/>
      <c r="I202" s="21">
        <f t="shared" si="29"/>
        <v>1</v>
      </c>
      <c r="J202" s="662"/>
      <c r="K202" s="21">
        <f t="shared" si="30"/>
        <v>1</v>
      </c>
      <c r="L202" s="662"/>
      <c r="M202" s="21">
        <f t="shared" si="31"/>
        <v>1</v>
      </c>
      <c r="N202" s="662"/>
      <c r="O202" s="21">
        <f t="shared" si="32"/>
        <v>1</v>
      </c>
      <c r="P202" s="662"/>
      <c r="Q202" s="21">
        <f t="shared" si="33"/>
        <v>0.06</v>
      </c>
      <c r="R202" s="659">
        <f t="shared" si="34"/>
        <v>0</v>
      </c>
      <c r="S202" s="316">
        <f t="shared" si="25"/>
        <v>0</v>
      </c>
    </row>
    <row r="203" spans="1:19">
      <c r="A203" s="150"/>
      <c r="B203" s="54"/>
      <c r="C203" s="21">
        <f t="shared" si="26"/>
        <v>1</v>
      </c>
      <c r="D203" s="662"/>
      <c r="E203" s="21">
        <f t="shared" si="27"/>
        <v>1</v>
      </c>
      <c r="F203" s="662"/>
      <c r="G203" s="21">
        <f t="shared" si="28"/>
        <v>1</v>
      </c>
      <c r="H203" s="662"/>
      <c r="I203" s="21">
        <f t="shared" si="29"/>
        <v>1</v>
      </c>
      <c r="J203" s="662"/>
      <c r="K203" s="21">
        <f t="shared" si="30"/>
        <v>1</v>
      </c>
      <c r="L203" s="662"/>
      <c r="M203" s="21">
        <f t="shared" si="31"/>
        <v>1</v>
      </c>
      <c r="N203" s="662"/>
      <c r="O203" s="21">
        <f t="shared" si="32"/>
        <v>1</v>
      </c>
      <c r="P203" s="662"/>
      <c r="Q203" s="21">
        <f t="shared" si="33"/>
        <v>0.06</v>
      </c>
      <c r="R203" s="659">
        <f t="shared" si="34"/>
        <v>0</v>
      </c>
      <c r="S203" s="316">
        <f t="shared" si="25"/>
        <v>0</v>
      </c>
    </row>
    <row r="204" spans="1:19">
      <c r="A204" s="150"/>
      <c r="B204" s="54"/>
      <c r="C204" s="21">
        <f t="shared" si="26"/>
        <v>1</v>
      </c>
      <c r="D204" s="662"/>
      <c r="E204" s="21">
        <f t="shared" si="27"/>
        <v>1</v>
      </c>
      <c r="F204" s="662"/>
      <c r="G204" s="21">
        <f t="shared" si="28"/>
        <v>1</v>
      </c>
      <c r="H204" s="662"/>
      <c r="I204" s="21">
        <f t="shared" si="29"/>
        <v>1</v>
      </c>
      <c r="J204" s="662"/>
      <c r="K204" s="21">
        <f t="shared" si="30"/>
        <v>1</v>
      </c>
      <c r="L204" s="662"/>
      <c r="M204" s="21">
        <f t="shared" si="31"/>
        <v>1</v>
      </c>
      <c r="N204" s="662"/>
      <c r="O204" s="21">
        <f t="shared" si="32"/>
        <v>1</v>
      </c>
      <c r="P204" s="662"/>
      <c r="Q204" s="21">
        <f t="shared" si="33"/>
        <v>0.06</v>
      </c>
      <c r="R204" s="659">
        <f t="shared" si="34"/>
        <v>0</v>
      </c>
      <c r="S204" s="316">
        <f t="shared" si="25"/>
        <v>0</v>
      </c>
    </row>
    <row r="205" spans="1:19">
      <c r="A205" s="150"/>
      <c r="B205" s="54"/>
      <c r="C205" s="21">
        <f t="shared" si="26"/>
        <v>1</v>
      </c>
      <c r="D205" s="662"/>
      <c r="E205" s="21">
        <f t="shared" si="27"/>
        <v>1</v>
      </c>
      <c r="F205" s="662"/>
      <c r="G205" s="21">
        <f t="shared" si="28"/>
        <v>1</v>
      </c>
      <c r="H205" s="662"/>
      <c r="I205" s="21">
        <f t="shared" si="29"/>
        <v>1</v>
      </c>
      <c r="J205" s="662"/>
      <c r="K205" s="21">
        <f t="shared" si="30"/>
        <v>1</v>
      </c>
      <c r="L205" s="662"/>
      <c r="M205" s="21">
        <f t="shared" si="31"/>
        <v>1</v>
      </c>
      <c r="N205" s="662"/>
      <c r="O205" s="21">
        <f t="shared" si="32"/>
        <v>1</v>
      </c>
      <c r="P205" s="662"/>
      <c r="Q205" s="21">
        <f t="shared" si="33"/>
        <v>0.06</v>
      </c>
      <c r="R205" s="659">
        <f t="shared" si="34"/>
        <v>0</v>
      </c>
      <c r="S205" s="316">
        <f t="shared" si="25"/>
        <v>0</v>
      </c>
    </row>
    <row r="206" spans="1:19">
      <c r="A206" s="150"/>
      <c r="B206" s="54"/>
      <c r="C206" s="21">
        <f t="shared" si="26"/>
        <v>1</v>
      </c>
      <c r="D206" s="662"/>
      <c r="E206" s="21">
        <f t="shared" si="27"/>
        <v>1</v>
      </c>
      <c r="F206" s="662"/>
      <c r="G206" s="21">
        <f t="shared" si="28"/>
        <v>1</v>
      </c>
      <c r="H206" s="662"/>
      <c r="I206" s="21">
        <f t="shared" si="29"/>
        <v>1</v>
      </c>
      <c r="J206" s="662"/>
      <c r="K206" s="21">
        <f t="shared" si="30"/>
        <v>1</v>
      </c>
      <c r="L206" s="662"/>
      <c r="M206" s="21">
        <f t="shared" si="31"/>
        <v>1</v>
      </c>
      <c r="N206" s="662"/>
      <c r="O206" s="21">
        <f t="shared" si="32"/>
        <v>1</v>
      </c>
      <c r="P206" s="662"/>
      <c r="Q206" s="21">
        <f t="shared" si="33"/>
        <v>0.06</v>
      </c>
      <c r="R206" s="659">
        <f t="shared" si="34"/>
        <v>0</v>
      </c>
      <c r="S206" s="316">
        <f t="shared" si="25"/>
        <v>0</v>
      </c>
    </row>
    <row r="207" spans="1:19">
      <c r="A207" s="150"/>
      <c r="B207" s="54"/>
      <c r="C207" s="21">
        <f t="shared" si="26"/>
        <v>1</v>
      </c>
      <c r="D207" s="662"/>
      <c r="E207" s="21">
        <f t="shared" si="27"/>
        <v>1</v>
      </c>
      <c r="F207" s="662"/>
      <c r="G207" s="21">
        <f t="shared" si="28"/>
        <v>1</v>
      </c>
      <c r="H207" s="662"/>
      <c r="I207" s="21">
        <f t="shared" si="29"/>
        <v>1</v>
      </c>
      <c r="J207" s="662"/>
      <c r="K207" s="21">
        <f t="shared" si="30"/>
        <v>1</v>
      </c>
      <c r="L207" s="662"/>
      <c r="M207" s="21">
        <f t="shared" si="31"/>
        <v>1</v>
      </c>
      <c r="N207" s="662"/>
      <c r="O207" s="21">
        <f t="shared" si="32"/>
        <v>1</v>
      </c>
      <c r="P207" s="662"/>
      <c r="Q207" s="21">
        <f t="shared" si="33"/>
        <v>0.06</v>
      </c>
      <c r="R207" s="659">
        <f t="shared" si="34"/>
        <v>0</v>
      </c>
      <c r="S207" s="316">
        <f t="shared" si="25"/>
        <v>0</v>
      </c>
    </row>
    <row r="208" spans="1:19">
      <c r="A208" s="150"/>
      <c r="B208" s="54"/>
      <c r="C208" s="21">
        <f t="shared" si="26"/>
        <v>1</v>
      </c>
      <c r="D208" s="662"/>
      <c r="E208" s="21">
        <f t="shared" si="27"/>
        <v>1</v>
      </c>
      <c r="F208" s="662"/>
      <c r="G208" s="21">
        <f t="shared" si="28"/>
        <v>1</v>
      </c>
      <c r="H208" s="662"/>
      <c r="I208" s="21">
        <f t="shared" si="29"/>
        <v>1</v>
      </c>
      <c r="J208" s="662"/>
      <c r="K208" s="21">
        <f t="shared" si="30"/>
        <v>1</v>
      </c>
      <c r="L208" s="662"/>
      <c r="M208" s="21">
        <f t="shared" si="31"/>
        <v>1</v>
      </c>
      <c r="N208" s="662"/>
      <c r="O208" s="21">
        <f t="shared" si="32"/>
        <v>1</v>
      </c>
      <c r="P208" s="662"/>
      <c r="Q208" s="21">
        <f t="shared" si="33"/>
        <v>0.06</v>
      </c>
      <c r="R208" s="659">
        <f t="shared" si="34"/>
        <v>0</v>
      </c>
      <c r="S208" s="316">
        <f t="shared" si="25"/>
        <v>0</v>
      </c>
    </row>
    <row r="209" spans="1:19">
      <c r="A209" s="150"/>
      <c r="B209" s="54"/>
      <c r="C209" s="21">
        <f t="shared" si="26"/>
        <v>1</v>
      </c>
      <c r="D209" s="662"/>
      <c r="E209" s="21">
        <f t="shared" si="27"/>
        <v>1</v>
      </c>
      <c r="F209" s="662"/>
      <c r="G209" s="21">
        <f t="shared" si="28"/>
        <v>1</v>
      </c>
      <c r="H209" s="662"/>
      <c r="I209" s="21">
        <f t="shared" si="29"/>
        <v>1</v>
      </c>
      <c r="J209" s="662"/>
      <c r="K209" s="21">
        <f t="shared" si="30"/>
        <v>1</v>
      </c>
      <c r="L209" s="662"/>
      <c r="M209" s="21">
        <f t="shared" si="31"/>
        <v>1</v>
      </c>
      <c r="N209" s="662"/>
      <c r="O209" s="21">
        <f t="shared" si="32"/>
        <v>1</v>
      </c>
      <c r="P209" s="662"/>
      <c r="Q209" s="21">
        <f t="shared" si="33"/>
        <v>0.06</v>
      </c>
      <c r="R209" s="659">
        <f t="shared" si="34"/>
        <v>0</v>
      </c>
      <c r="S209" s="316">
        <f t="shared" si="25"/>
        <v>0</v>
      </c>
    </row>
    <row r="210" spans="1:19">
      <c r="A210" s="150"/>
      <c r="B210" s="54"/>
      <c r="C210" s="21">
        <f t="shared" si="26"/>
        <v>1</v>
      </c>
      <c r="D210" s="662"/>
      <c r="E210" s="21">
        <f t="shared" si="27"/>
        <v>1</v>
      </c>
      <c r="F210" s="662"/>
      <c r="G210" s="21">
        <f t="shared" si="28"/>
        <v>1</v>
      </c>
      <c r="H210" s="662"/>
      <c r="I210" s="21">
        <f t="shared" si="29"/>
        <v>1</v>
      </c>
      <c r="J210" s="662"/>
      <c r="K210" s="21">
        <f t="shared" si="30"/>
        <v>1</v>
      </c>
      <c r="L210" s="662"/>
      <c r="M210" s="21">
        <f t="shared" si="31"/>
        <v>1</v>
      </c>
      <c r="N210" s="662"/>
      <c r="O210" s="21">
        <f t="shared" si="32"/>
        <v>1</v>
      </c>
      <c r="P210" s="662"/>
      <c r="Q210" s="21">
        <f t="shared" si="33"/>
        <v>0.06</v>
      </c>
      <c r="R210" s="659">
        <f t="shared" si="34"/>
        <v>0</v>
      </c>
      <c r="S210" s="316">
        <f t="shared" si="25"/>
        <v>0</v>
      </c>
    </row>
    <row r="211" spans="1:19">
      <c r="A211" s="150"/>
      <c r="B211" s="54"/>
      <c r="C211" s="21">
        <f t="shared" si="26"/>
        <v>1</v>
      </c>
      <c r="D211" s="662"/>
      <c r="E211" s="21">
        <f t="shared" si="27"/>
        <v>1</v>
      </c>
      <c r="F211" s="662"/>
      <c r="G211" s="21">
        <f t="shared" si="28"/>
        <v>1</v>
      </c>
      <c r="H211" s="662"/>
      <c r="I211" s="21">
        <f t="shared" si="29"/>
        <v>1</v>
      </c>
      <c r="J211" s="662"/>
      <c r="K211" s="21">
        <f t="shared" si="30"/>
        <v>1</v>
      </c>
      <c r="L211" s="662"/>
      <c r="M211" s="21">
        <f t="shared" si="31"/>
        <v>1</v>
      </c>
      <c r="N211" s="662"/>
      <c r="O211" s="21">
        <f t="shared" si="32"/>
        <v>1</v>
      </c>
      <c r="P211" s="662"/>
      <c r="Q211" s="21">
        <f t="shared" si="33"/>
        <v>0.06</v>
      </c>
      <c r="R211" s="659">
        <f t="shared" si="34"/>
        <v>0</v>
      </c>
      <c r="S211" s="316">
        <f t="shared" si="25"/>
        <v>0</v>
      </c>
    </row>
    <row r="212" spans="1:19">
      <c r="A212" s="150"/>
      <c r="B212" s="54"/>
      <c r="C212" s="21">
        <f t="shared" si="26"/>
        <v>1</v>
      </c>
      <c r="D212" s="662"/>
      <c r="E212" s="21">
        <f t="shared" si="27"/>
        <v>1</v>
      </c>
      <c r="F212" s="662"/>
      <c r="G212" s="21">
        <f t="shared" si="28"/>
        <v>1</v>
      </c>
      <c r="H212" s="662"/>
      <c r="I212" s="21">
        <f t="shared" si="29"/>
        <v>1</v>
      </c>
      <c r="J212" s="662"/>
      <c r="K212" s="21">
        <f t="shared" si="30"/>
        <v>1</v>
      </c>
      <c r="L212" s="662"/>
      <c r="M212" s="21">
        <f t="shared" si="31"/>
        <v>1</v>
      </c>
      <c r="N212" s="662"/>
      <c r="O212" s="21">
        <f t="shared" si="32"/>
        <v>1</v>
      </c>
      <c r="P212" s="662"/>
      <c r="Q212" s="21">
        <f t="shared" si="33"/>
        <v>0.06</v>
      </c>
      <c r="R212" s="659">
        <f t="shared" si="34"/>
        <v>0</v>
      </c>
      <c r="S212" s="316">
        <f t="shared" si="25"/>
        <v>0</v>
      </c>
    </row>
    <row r="213" spans="1:19">
      <c r="A213" s="150"/>
      <c r="B213" s="54"/>
      <c r="C213" s="21">
        <f t="shared" si="26"/>
        <v>1</v>
      </c>
      <c r="D213" s="662"/>
      <c r="E213" s="21">
        <f t="shared" si="27"/>
        <v>1</v>
      </c>
      <c r="F213" s="662"/>
      <c r="G213" s="21">
        <f t="shared" si="28"/>
        <v>1</v>
      </c>
      <c r="H213" s="662"/>
      <c r="I213" s="21">
        <f t="shared" si="29"/>
        <v>1</v>
      </c>
      <c r="J213" s="662"/>
      <c r="K213" s="21">
        <f t="shared" si="30"/>
        <v>1</v>
      </c>
      <c r="L213" s="662"/>
      <c r="M213" s="21">
        <f t="shared" si="31"/>
        <v>1</v>
      </c>
      <c r="N213" s="662"/>
      <c r="O213" s="21">
        <f t="shared" si="32"/>
        <v>1</v>
      </c>
      <c r="P213" s="662"/>
      <c r="Q213" s="21">
        <f t="shared" si="33"/>
        <v>0.06</v>
      </c>
      <c r="R213" s="659">
        <f t="shared" si="34"/>
        <v>0</v>
      </c>
      <c r="S213" s="316">
        <f t="shared" si="25"/>
        <v>0</v>
      </c>
    </row>
    <row r="214" spans="1:19">
      <c r="A214" s="150"/>
      <c r="B214" s="54"/>
      <c r="C214" s="21">
        <f t="shared" si="26"/>
        <v>1</v>
      </c>
      <c r="D214" s="662"/>
      <c r="E214" s="21">
        <f t="shared" si="27"/>
        <v>1</v>
      </c>
      <c r="F214" s="662"/>
      <c r="G214" s="21">
        <f t="shared" si="28"/>
        <v>1</v>
      </c>
      <c r="H214" s="662"/>
      <c r="I214" s="21">
        <f t="shared" si="29"/>
        <v>1</v>
      </c>
      <c r="J214" s="662"/>
      <c r="K214" s="21">
        <f t="shared" si="30"/>
        <v>1</v>
      </c>
      <c r="L214" s="662"/>
      <c r="M214" s="21">
        <f t="shared" si="31"/>
        <v>1</v>
      </c>
      <c r="N214" s="662"/>
      <c r="O214" s="21">
        <f t="shared" si="32"/>
        <v>1</v>
      </c>
      <c r="P214" s="662"/>
      <c r="Q214" s="21">
        <f t="shared" si="33"/>
        <v>0.06</v>
      </c>
      <c r="R214" s="659">
        <f t="shared" si="34"/>
        <v>0</v>
      </c>
      <c r="S214" s="316">
        <f t="shared" si="25"/>
        <v>0</v>
      </c>
    </row>
    <row r="215" spans="1:19">
      <c r="A215" s="150"/>
      <c r="B215" s="54"/>
      <c r="C215" s="21">
        <f t="shared" si="26"/>
        <v>1</v>
      </c>
      <c r="D215" s="662"/>
      <c r="E215" s="21">
        <f t="shared" si="27"/>
        <v>1</v>
      </c>
      <c r="F215" s="662"/>
      <c r="G215" s="21">
        <f t="shared" si="28"/>
        <v>1</v>
      </c>
      <c r="H215" s="662"/>
      <c r="I215" s="21">
        <f t="shared" si="29"/>
        <v>1</v>
      </c>
      <c r="J215" s="662"/>
      <c r="K215" s="21">
        <f t="shared" si="30"/>
        <v>1</v>
      </c>
      <c r="L215" s="662"/>
      <c r="M215" s="21">
        <f t="shared" si="31"/>
        <v>1</v>
      </c>
      <c r="N215" s="662"/>
      <c r="O215" s="21">
        <f t="shared" si="32"/>
        <v>1</v>
      </c>
      <c r="P215" s="662"/>
      <c r="Q215" s="21">
        <f t="shared" si="33"/>
        <v>0.06</v>
      </c>
      <c r="R215" s="659">
        <f t="shared" si="34"/>
        <v>0</v>
      </c>
      <c r="S215" s="316">
        <f t="shared" si="25"/>
        <v>0</v>
      </c>
    </row>
    <row r="216" spans="1:19">
      <c r="A216" s="150"/>
      <c r="B216" s="54"/>
      <c r="C216" s="21">
        <f t="shared" si="26"/>
        <v>1</v>
      </c>
      <c r="D216" s="662"/>
      <c r="E216" s="21">
        <f t="shared" si="27"/>
        <v>1</v>
      </c>
      <c r="F216" s="662"/>
      <c r="G216" s="21">
        <f t="shared" si="28"/>
        <v>1</v>
      </c>
      <c r="H216" s="662"/>
      <c r="I216" s="21">
        <f t="shared" si="29"/>
        <v>1</v>
      </c>
      <c r="J216" s="662"/>
      <c r="K216" s="21">
        <f t="shared" si="30"/>
        <v>1</v>
      </c>
      <c r="L216" s="662"/>
      <c r="M216" s="21">
        <f t="shared" si="31"/>
        <v>1</v>
      </c>
      <c r="N216" s="662"/>
      <c r="O216" s="21">
        <f t="shared" si="32"/>
        <v>1</v>
      </c>
      <c r="P216" s="662"/>
      <c r="Q216" s="21">
        <f t="shared" si="33"/>
        <v>0.06</v>
      </c>
      <c r="R216" s="659">
        <f t="shared" si="34"/>
        <v>0</v>
      </c>
      <c r="S216" s="316">
        <f t="shared" ref="S216:S279" si="35">ROUND(R216*B216/10000,0)</f>
        <v>0</v>
      </c>
    </row>
    <row r="217" spans="1:19">
      <c r="A217" s="150"/>
      <c r="B217" s="54"/>
      <c r="C217" s="21">
        <f t="shared" si="26"/>
        <v>1</v>
      </c>
      <c r="D217" s="662"/>
      <c r="E217" s="21">
        <f t="shared" si="27"/>
        <v>1</v>
      </c>
      <c r="F217" s="662"/>
      <c r="G217" s="21">
        <f t="shared" si="28"/>
        <v>1</v>
      </c>
      <c r="H217" s="662"/>
      <c r="I217" s="21">
        <f t="shared" si="29"/>
        <v>1</v>
      </c>
      <c r="J217" s="662"/>
      <c r="K217" s="21">
        <f t="shared" si="30"/>
        <v>1</v>
      </c>
      <c r="L217" s="662"/>
      <c r="M217" s="21">
        <f t="shared" si="31"/>
        <v>1</v>
      </c>
      <c r="N217" s="662"/>
      <c r="O217" s="21">
        <f t="shared" si="32"/>
        <v>1</v>
      </c>
      <c r="P217" s="662"/>
      <c r="Q217" s="21">
        <f t="shared" si="33"/>
        <v>0.06</v>
      </c>
      <c r="R217" s="659">
        <f t="shared" si="34"/>
        <v>0</v>
      </c>
      <c r="S217" s="316">
        <f t="shared" si="35"/>
        <v>0</v>
      </c>
    </row>
    <row r="218" spans="1:19">
      <c r="A218" s="150"/>
      <c r="B218" s="54"/>
      <c r="C218" s="21">
        <f t="shared" ref="C218:C281" si="36">IF(B218="",1,(LOOKUP(B218,$3:$3,$4:$4)-LOOKUP($B$24,$3:$3,$4:$4)+100)/100)</f>
        <v>1</v>
      </c>
      <c r="D218" s="662"/>
      <c r="E218" s="21">
        <f t="shared" ref="E218:E281" si="37">(SUMIF($5:$5,D218,$6:$6)-SUMIF($5:$5,$D$24,$6:$6)+100)/100</f>
        <v>1</v>
      </c>
      <c r="F218" s="662"/>
      <c r="G218" s="21">
        <f t="shared" ref="G218:G281" si="38">(SUMIF($7:$7,F218,$8:$8)-SUMIF($7:$7,$F$24,$8:$8)+100)/100</f>
        <v>1</v>
      </c>
      <c r="H218" s="662"/>
      <c r="I218" s="21">
        <f t="shared" ref="I218:I281" si="39">(SUMIF($9:$9,H218,$10:$10)-SUMIF($9:$9,$H$24,$10:$10)+100)/100</f>
        <v>1</v>
      </c>
      <c r="J218" s="662"/>
      <c r="K218" s="21">
        <f t="shared" ref="K218:K281" si="40">(SUMIF($11:$11,J218,$12:$12)-SUMIF($11:$11,$J$24,$12:$12)+100)/100</f>
        <v>1</v>
      </c>
      <c r="L218" s="662"/>
      <c r="M218" s="21">
        <f t="shared" ref="M218:M281" si="41">(SUMIF($13:$13,L218,$14:$14)-SUMIF($13:$13,$L$24,$14:$14)+100)/100</f>
        <v>1</v>
      </c>
      <c r="N218" s="662"/>
      <c r="O218" s="21">
        <f t="shared" ref="O218:O281" si="42">(SUMIF($15:$15,N218,$16:$16)-SUMIF($15:$15,$N$24,$16:$16)+100)/100</f>
        <v>1</v>
      </c>
      <c r="P218" s="662"/>
      <c r="Q218" s="21">
        <f t="shared" ref="Q218:Q281" si="43">(SUMIF($17:$17,P218,$18:$18)-SUMIF($17:$17,$P$24,$18:$18)+100)/100</f>
        <v>0.06</v>
      </c>
      <c r="R218" s="659">
        <f t="shared" ref="R218:R281" si="44">IF(B218="",0,ROUND($R$24*C218*E218*G218*I218*K218*M218*O218*Q218,0))</f>
        <v>0</v>
      </c>
      <c r="S218" s="316">
        <f t="shared" si="35"/>
        <v>0</v>
      </c>
    </row>
    <row r="219" spans="1:19">
      <c r="A219" s="150"/>
      <c r="B219" s="54"/>
      <c r="C219" s="21">
        <f t="shared" si="36"/>
        <v>1</v>
      </c>
      <c r="D219" s="662"/>
      <c r="E219" s="21">
        <f t="shared" si="37"/>
        <v>1</v>
      </c>
      <c r="F219" s="662"/>
      <c r="G219" s="21">
        <f t="shared" si="38"/>
        <v>1</v>
      </c>
      <c r="H219" s="662"/>
      <c r="I219" s="21">
        <f t="shared" si="39"/>
        <v>1</v>
      </c>
      <c r="J219" s="662"/>
      <c r="K219" s="21">
        <f t="shared" si="40"/>
        <v>1</v>
      </c>
      <c r="L219" s="662"/>
      <c r="M219" s="21">
        <f t="shared" si="41"/>
        <v>1</v>
      </c>
      <c r="N219" s="662"/>
      <c r="O219" s="21">
        <f t="shared" si="42"/>
        <v>1</v>
      </c>
      <c r="P219" s="662"/>
      <c r="Q219" s="21">
        <f t="shared" si="43"/>
        <v>0.06</v>
      </c>
      <c r="R219" s="659">
        <f t="shared" si="44"/>
        <v>0</v>
      </c>
      <c r="S219" s="316">
        <f t="shared" si="35"/>
        <v>0</v>
      </c>
    </row>
    <row r="220" spans="1:19">
      <c r="A220" s="150"/>
      <c r="B220" s="54"/>
      <c r="C220" s="21">
        <f t="shared" si="36"/>
        <v>1</v>
      </c>
      <c r="D220" s="662"/>
      <c r="E220" s="21">
        <f t="shared" si="37"/>
        <v>1</v>
      </c>
      <c r="F220" s="662"/>
      <c r="G220" s="21">
        <f t="shared" si="38"/>
        <v>1</v>
      </c>
      <c r="H220" s="662"/>
      <c r="I220" s="21">
        <f t="shared" si="39"/>
        <v>1</v>
      </c>
      <c r="J220" s="662"/>
      <c r="K220" s="21">
        <f t="shared" si="40"/>
        <v>1</v>
      </c>
      <c r="L220" s="662"/>
      <c r="M220" s="21">
        <f t="shared" si="41"/>
        <v>1</v>
      </c>
      <c r="N220" s="662"/>
      <c r="O220" s="21">
        <f t="shared" si="42"/>
        <v>1</v>
      </c>
      <c r="P220" s="662"/>
      <c r="Q220" s="21">
        <f t="shared" si="43"/>
        <v>0.06</v>
      </c>
      <c r="R220" s="659">
        <f t="shared" si="44"/>
        <v>0</v>
      </c>
      <c r="S220" s="316">
        <f t="shared" si="35"/>
        <v>0</v>
      </c>
    </row>
    <row r="221" spans="1:19">
      <c r="A221" s="150"/>
      <c r="B221" s="54"/>
      <c r="C221" s="21">
        <f t="shared" si="36"/>
        <v>1</v>
      </c>
      <c r="D221" s="662"/>
      <c r="E221" s="21">
        <f t="shared" si="37"/>
        <v>1</v>
      </c>
      <c r="F221" s="662"/>
      <c r="G221" s="21">
        <f t="shared" si="38"/>
        <v>1</v>
      </c>
      <c r="H221" s="662"/>
      <c r="I221" s="21">
        <f t="shared" si="39"/>
        <v>1</v>
      </c>
      <c r="J221" s="662"/>
      <c r="K221" s="21">
        <f t="shared" si="40"/>
        <v>1</v>
      </c>
      <c r="L221" s="662"/>
      <c r="M221" s="21">
        <f t="shared" si="41"/>
        <v>1</v>
      </c>
      <c r="N221" s="662"/>
      <c r="O221" s="21">
        <f t="shared" si="42"/>
        <v>1</v>
      </c>
      <c r="P221" s="662"/>
      <c r="Q221" s="21">
        <f t="shared" si="43"/>
        <v>0.06</v>
      </c>
      <c r="R221" s="659">
        <f t="shared" si="44"/>
        <v>0</v>
      </c>
      <c r="S221" s="316">
        <f t="shared" si="35"/>
        <v>0</v>
      </c>
    </row>
    <row r="222" spans="1:19">
      <c r="A222" s="150"/>
      <c r="B222" s="54"/>
      <c r="C222" s="21">
        <f t="shared" si="36"/>
        <v>1</v>
      </c>
      <c r="D222" s="662"/>
      <c r="E222" s="21">
        <f t="shared" si="37"/>
        <v>1</v>
      </c>
      <c r="F222" s="662"/>
      <c r="G222" s="21">
        <f t="shared" si="38"/>
        <v>1</v>
      </c>
      <c r="H222" s="662"/>
      <c r="I222" s="21">
        <f t="shared" si="39"/>
        <v>1</v>
      </c>
      <c r="J222" s="662"/>
      <c r="K222" s="21">
        <f t="shared" si="40"/>
        <v>1</v>
      </c>
      <c r="L222" s="662"/>
      <c r="M222" s="21">
        <f t="shared" si="41"/>
        <v>1</v>
      </c>
      <c r="N222" s="662"/>
      <c r="O222" s="21">
        <f t="shared" si="42"/>
        <v>1</v>
      </c>
      <c r="P222" s="662"/>
      <c r="Q222" s="21">
        <f t="shared" si="43"/>
        <v>0.06</v>
      </c>
      <c r="R222" s="659">
        <f t="shared" si="44"/>
        <v>0</v>
      </c>
      <c r="S222" s="316">
        <f t="shared" si="35"/>
        <v>0</v>
      </c>
    </row>
    <row r="223" spans="1:19">
      <c r="A223" s="150"/>
      <c r="B223" s="54"/>
      <c r="C223" s="21">
        <f t="shared" si="36"/>
        <v>1</v>
      </c>
      <c r="D223" s="662"/>
      <c r="E223" s="21">
        <f t="shared" si="37"/>
        <v>1</v>
      </c>
      <c r="F223" s="662"/>
      <c r="G223" s="21">
        <f t="shared" si="38"/>
        <v>1</v>
      </c>
      <c r="H223" s="662"/>
      <c r="I223" s="21">
        <f t="shared" si="39"/>
        <v>1</v>
      </c>
      <c r="J223" s="662"/>
      <c r="K223" s="21">
        <f t="shared" si="40"/>
        <v>1</v>
      </c>
      <c r="L223" s="662"/>
      <c r="M223" s="21">
        <f t="shared" si="41"/>
        <v>1</v>
      </c>
      <c r="N223" s="662"/>
      <c r="O223" s="21">
        <f t="shared" si="42"/>
        <v>1</v>
      </c>
      <c r="P223" s="662"/>
      <c r="Q223" s="21">
        <f t="shared" si="43"/>
        <v>0.06</v>
      </c>
      <c r="R223" s="659">
        <f t="shared" si="44"/>
        <v>0</v>
      </c>
      <c r="S223" s="316">
        <f t="shared" si="35"/>
        <v>0</v>
      </c>
    </row>
    <row r="224" spans="1:19">
      <c r="A224" s="150"/>
      <c r="B224" s="54"/>
      <c r="C224" s="21">
        <f t="shared" si="36"/>
        <v>1</v>
      </c>
      <c r="D224" s="662"/>
      <c r="E224" s="21">
        <f t="shared" si="37"/>
        <v>1</v>
      </c>
      <c r="F224" s="662"/>
      <c r="G224" s="21">
        <f t="shared" si="38"/>
        <v>1</v>
      </c>
      <c r="H224" s="662"/>
      <c r="I224" s="21">
        <f t="shared" si="39"/>
        <v>1</v>
      </c>
      <c r="J224" s="662"/>
      <c r="K224" s="21">
        <f t="shared" si="40"/>
        <v>1</v>
      </c>
      <c r="L224" s="662"/>
      <c r="M224" s="21">
        <f t="shared" si="41"/>
        <v>1</v>
      </c>
      <c r="N224" s="662"/>
      <c r="O224" s="21">
        <f t="shared" si="42"/>
        <v>1</v>
      </c>
      <c r="P224" s="662"/>
      <c r="Q224" s="21">
        <f t="shared" si="43"/>
        <v>0.06</v>
      </c>
      <c r="R224" s="659">
        <f t="shared" si="44"/>
        <v>0</v>
      </c>
      <c r="S224" s="316">
        <f t="shared" si="35"/>
        <v>0</v>
      </c>
    </row>
    <row r="225" spans="1:19">
      <c r="A225" s="150"/>
      <c r="B225" s="54"/>
      <c r="C225" s="21">
        <f t="shared" si="36"/>
        <v>1</v>
      </c>
      <c r="D225" s="662"/>
      <c r="E225" s="21">
        <f t="shared" si="37"/>
        <v>1</v>
      </c>
      <c r="F225" s="662"/>
      <c r="G225" s="21">
        <f t="shared" si="38"/>
        <v>1</v>
      </c>
      <c r="H225" s="662"/>
      <c r="I225" s="21">
        <f t="shared" si="39"/>
        <v>1</v>
      </c>
      <c r="J225" s="662"/>
      <c r="K225" s="21">
        <f t="shared" si="40"/>
        <v>1</v>
      </c>
      <c r="L225" s="662"/>
      <c r="M225" s="21">
        <f t="shared" si="41"/>
        <v>1</v>
      </c>
      <c r="N225" s="662"/>
      <c r="O225" s="21">
        <f t="shared" si="42"/>
        <v>1</v>
      </c>
      <c r="P225" s="662"/>
      <c r="Q225" s="21">
        <f t="shared" si="43"/>
        <v>0.06</v>
      </c>
      <c r="R225" s="659">
        <f t="shared" si="44"/>
        <v>0</v>
      </c>
      <c r="S225" s="316">
        <f t="shared" si="35"/>
        <v>0</v>
      </c>
    </row>
    <row r="226" spans="1:19">
      <c r="A226" s="150"/>
      <c r="B226" s="54"/>
      <c r="C226" s="21">
        <f t="shared" si="36"/>
        <v>1</v>
      </c>
      <c r="D226" s="662"/>
      <c r="E226" s="21">
        <f t="shared" si="37"/>
        <v>1</v>
      </c>
      <c r="F226" s="662"/>
      <c r="G226" s="21">
        <f t="shared" si="38"/>
        <v>1</v>
      </c>
      <c r="H226" s="662"/>
      <c r="I226" s="21">
        <f t="shared" si="39"/>
        <v>1</v>
      </c>
      <c r="J226" s="662"/>
      <c r="K226" s="21">
        <f t="shared" si="40"/>
        <v>1</v>
      </c>
      <c r="L226" s="662"/>
      <c r="M226" s="21">
        <f t="shared" si="41"/>
        <v>1</v>
      </c>
      <c r="N226" s="662"/>
      <c r="O226" s="21">
        <f t="shared" si="42"/>
        <v>1</v>
      </c>
      <c r="P226" s="662"/>
      <c r="Q226" s="21">
        <f t="shared" si="43"/>
        <v>0.06</v>
      </c>
      <c r="R226" s="659">
        <f t="shared" si="44"/>
        <v>0</v>
      </c>
      <c r="S226" s="316">
        <f t="shared" si="35"/>
        <v>0</v>
      </c>
    </row>
    <row r="227" spans="1:19">
      <c r="A227" s="150"/>
      <c r="B227" s="54"/>
      <c r="C227" s="21">
        <f t="shared" si="36"/>
        <v>1</v>
      </c>
      <c r="D227" s="662"/>
      <c r="E227" s="21">
        <f t="shared" si="37"/>
        <v>1</v>
      </c>
      <c r="F227" s="662"/>
      <c r="G227" s="21">
        <f t="shared" si="38"/>
        <v>1</v>
      </c>
      <c r="H227" s="662"/>
      <c r="I227" s="21">
        <f t="shared" si="39"/>
        <v>1</v>
      </c>
      <c r="J227" s="662"/>
      <c r="K227" s="21">
        <f t="shared" si="40"/>
        <v>1</v>
      </c>
      <c r="L227" s="662"/>
      <c r="M227" s="21">
        <f t="shared" si="41"/>
        <v>1</v>
      </c>
      <c r="N227" s="662"/>
      <c r="O227" s="21">
        <f t="shared" si="42"/>
        <v>1</v>
      </c>
      <c r="P227" s="662"/>
      <c r="Q227" s="21">
        <f t="shared" si="43"/>
        <v>0.06</v>
      </c>
      <c r="R227" s="659">
        <f t="shared" si="44"/>
        <v>0</v>
      </c>
      <c r="S227" s="316">
        <f t="shared" si="35"/>
        <v>0</v>
      </c>
    </row>
    <row r="228" spans="1:19">
      <c r="A228" s="150"/>
      <c r="B228" s="54"/>
      <c r="C228" s="21">
        <f t="shared" si="36"/>
        <v>1</v>
      </c>
      <c r="D228" s="662"/>
      <c r="E228" s="21">
        <f t="shared" si="37"/>
        <v>1</v>
      </c>
      <c r="F228" s="662"/>
      <c r="G228" s="21">
        <f t="shared" si="38"/>
        <v>1</v>
      </c>
      <c r="H228" s="662"/>
      <c r="I228" s="21">
        <f t="shared" si="39"/>
        <v>1</v>
      </c>
      <c r="J228" s="662"/>
      <c r="K228" s="21">
        <f t="shared" si="40"/>
        <v>1</v>
      </c>
      <c r="L228" s="662"/>
      <c r="M228" s="21">
        <f t="shared" si="41"/>
        <v>1</v>
      </c>
      <c r="N228" s="662"/>
      <c r="O228" s="21">
        <f t="shared" si="42"/>
        <v>1</v>
      </c>
      <c r="P228" s="662"/>
      <c r="Q228" s="21">
        <f t="shared" si="43"/>
        <v>0.06</v>
      </c>
      <c r="R228" s="659">
        <f t="shared" si="44"/>
        <v>0</v>
      </c>
      <c r="S228" s="316">
        <f t="shared" si="35"/>
        <v>0</v>
      </c>
    </row>
    <row r="229" spans="1:19">
      <c r="A229" s="150"/>
      <c r="B229" s="54"/>
      <c r="C229" s="21">
        <f t="shared" si="36"/>
        <v>1</v>
      </c>
      <c r="D229" s="662"/>
      <c r="E229" s="21">
        <f t="shared" si="37"/>
        <v>1</v>
      </c>
      <c r="F229" s="662"/>
      <c r="G229" s="21">
        <f t="shared" si="38"/>
        <v>1</v>
      </c>
      <c r="H229" s="662"/>
      <c r="I229" s="21">
        <f t="shared" si="39"/>
        <v>1</v>
      </c>
      <c r="J229" s="662"/>
      <c r="K229" s="21">
        <f t="shared" si="40"/>
        <v>1</v>
      </c>
      <c r="L229" s="662"/>
      <c r="M229" s="21">
        <f t="shared" si="41"/>
        <v>1</v>
      </c>
      <c r="N229" s="662"/>
      <c r="O229" s="21">
        <f t="shared" si="42"/>
        <v>1</v>
      </c>
      <c r="P229" s="662"/>
      <c r="Q229" s="21">
        <f t="shared" si="43"/>
        <v>0.06</v>
      </c>
      <c r="R229" s="659">
        <f t="shared" si="44"/>
        <v>0</v>
      </c>
      <c r="S229" s="316">
        <f t="shared" si="35"/>
        <v>0</v>
      </c>
    </row>
    <row r="230" spans="1:19">
      <c r="A230" s="150"/>
      <c r="B230" s="54"/>
      <c r="C230" s="21">
        <f t="shared" si="36"/>
        <v>1</v>
      </c>
      <c r="D230" s="662"/>
      <c r="E230" s="21">
        <f t="shared" si="37"/>
        <v>1</v>
      </c>
      <c r="F230" s="662"/>
      <c r="G230" s="21">
        <f t="shared" si="38"/>
        <v>1</v>
      </c>
      <c r="H230" s="662"/>
      <c r="I230" s="21">
        <f t="shared" si="39"/>
        <v>1</v>
      </c>
      <c r="J230" s="662"/>
      <c r="K230" s="21">
        <f t="shared" si="40"/>
        <v>1</v>
      </c>
      <c r="L230" s="662"/>
      <c r="M230" s="21">
        <f t="shared" si="41"/>
        <v>1</v>
      </c>
      <c r="N230" s="662"/>
      <c r="O230" s="21">
        <f t="shared" si="42"/>
        <v>1</v>
      </c>
      <c r="P230" s="662"/>
      <c r="Q230" s="21">
        <f t="shared" si="43"/>
        <v>0.06</v>
      </c>
      <c r="R230" s="659">
        <f t="shared" si="44"/>
        <v>0</v>
      </c>
      <c r="S230" s="316">
        <f t="shared" si="35"/>
        <v>0</v>
      </c>
    </row>
    <row r="231" spans="1:19">
      <c r="A231" s="150"/>
      <c r="B231" s="54"/>
      <c r="C231" s="21">
        <f t="shared" si="36"/>
        <v>1</v>
      </c>
      <c r="D231" s="662"/>
      <c r="E231" s="21">
        <f t="shared" si="37"/>
        <v>1</v>
      </c>
      <c r="F231" s="662"/>
      <c r="G231" s="21">
        <f t="shared" si="38"/>
        <v>1</v>
      </c>
      <c r="H231" s="662"/>
      <c r="I231" s="21">
        <f t="shared" si="39"/>
        <v>1</v>
      </c>
      <c r="J231" s="662"/>
      <c r="K231" s="21">
        <f t="shared" si="40"/>
        <v>1</v>
      </c>
      <c r="L231" s="662"/>
      <c r="M231" s="21">
        <f t="shared" si="41"/>
        <v>1</v>
      </c>
      <c r="N231" s="662"/>
      <c r="O231" s="21">
        <f t="shared" si="42"/>
        <v>1</v>
      </c>
      <c r="P231" s="662"/>
      <c r="Q231" s="21">
        <f t="shared" si="43"/>
        <v>0.06</v>
      </c>
      <c r="R231" s="659">
        <f t="shared" si="44"/>
        <v>0</v>
      </c>
      <c r="S231" s="316">
        <f t="shared" si="35"/>
        <v>0</v>
      </c>
    </row>
    <row r="232" spans="1:19">
      <c r="A232" s="150"/>
      <c r="B232" s="54"/>
      <c r="C232" s="21">
        <f t="shared" si="36"/>
        <v>1</v>
      </c>
      <c r="D232" s="662"/>
      <c r="E232" s="21">
        <f t="shared" si="37"/>
        <v>1</v>
      </c>
      <c r="F232" s="662"/>
      <c r="G232" s="21">
        <f t="shared" si="38"/>
        <v>1</v>
      </c>
      <c r="H232" s="662"/>
      <c r="I232" s="21">
        <f t="shared" si="39"/>
        <v>1</v>
      </c>
      <c r="J232" s="662"/>
      <c r="K232" s="21">
        <f t="shared" si="40"/>
        <v>1</v>
      </c>
      <c r="L232" s="662"/>
      <c r="M232" s="21">
        <f t="shared" si="41"/>
        <v>1</v>
      </c>
      <c r="N232" s="662"/>
      <c r="O232" s="21">
        <f t="shared" si="42"/>
        <v>1</v>
      </c>
      <c r="P232" s="662"/>
      <c r="Q232" s="21">
        <f t="shared" si="43"/>
        <v>0.06</v>
      </c>
      <c r="R232" s="659">
        <f t="shared" si="44"/>
        <v>0</v>
      </c>
      <c r="S232" s="316">
        <f t="shared" si="35"/>
        <v>0</v>
      </c>
    </row>
    <row r="233" spans="1:19">
      <c r="A233" s="150"/>
      <c r="B233" s="54"/>
      <c r="C233" s="21">
        <f t="shared" si="36"/>
        <v>1</v>
      </c>
      <c r="D233" s="662"/>
      <c r="E233" s="21">
        <f t="shared" si="37"/>
        <v>1</v>
      </c>
      <c r="F233" s="662"/>
      <c r="G233" s="21">
        <f t="shared" si="38"/>
        <v>1</v>
      </c>
      <c r="H233" s="662"/>
      <c r="I233" s="21">
        <f t="shared" si="39"/>
        <v>1</v>
      </c>
      <c r="J233" s="662"/>
      <c r="K233" s="21">
        <f t="shared" si="40"/>
        <v>1</v>
      </c>
      <c r="L233" s="662"/>
      <c r="M233" s="21">
        <f t="shared" si="41"/>
        <v>1</v>
      </c>
      <c r="N233" s="662"/>
      <c r="O233" s="21">
        <f t="shared" si="42"/>
        <v>1</v>
      </c>
      <c r="P233" s="662"/>
      <c r="Q233" s="21">
        <f t="shared" si="43"/>
        <v>0.06</v>
      </c>
      <c r="R233" s="659">
        <f t="shared" si="44"/>
        <v>0</v>
      </c>
      <c r="S233" s="316">
        <f t="shared" si="35"/>
        <v>0</v>
      </c>
    </row>
    <row r="234" spans="1:19">
      <c r="A234" s="150"/>
      <c r="B234" s="54"/>
      <c r="C234" s="21">
        <f t="shared" si="36"/>
        <v>1</v>
      </c>
      <c r="D234" s="662"/>
      <c r="E234" s="21">
        <f t="shared" si="37"/>
        <v>1</v>
      </c>
      <c r="F234" s="662"/>
      <c r="G234" s="21">
        <f t="shared" si="38"/>
        <v>1</v>
      </c>
      <c r="H234" s="662"/>
      <c r="I234" s="21">
        <f t="shared" si="39"/>
        <v>1</v>
      </c>
      <c r="J234" s="662"/>
      <c r="K234" s="21">
        <f t="shared" si="40"/>
        <v>1</v>
      </c>
      <c r="L234" s="662"/>
      <c r="M234" s="21">
        <f t="shared" si="41"/>
        <v>1</v>
      </c>
      <c r="N234" s="662"/>
      <c r="O234" s="21">
        <f t="shared" si="42"/>
        <v>1</v>
      </c>
      <c r="P234" s="662"/>
      <c r="Q234" s="21">
        <f t="shared" si="43"/>
        <v>0.06</v>
      </c>
      <c r="R234" s="659">
        <f t="shared" si="44"/>
        <v>0</v>
      </c>
      <c r="S234" s="316">
        <f t="shared" si="35"/>
        <v>0</v>
      </c>
    </row>
    <row r="235" spans="1:19">
      <c r="A235" s="150"/>
      <c r="B235" s="54"/>
      <c r="C235" s="21">
        <f t="shared" si="36"/>
        <v>1</v>
      </c>
      <c r="D235" s="662"/>
      <c r="E235" s="21">
        <f t="shared" si="37"/>
        <v>1</v>
      </c>
      <c r="F235" s="662"/>
      <c r="G235" s="21">
        <f t="shared" si="38"/>
        <v>1</v>
      </c>
      <c r="H235" s="662"/>
      <c r="I235" s="21">
        <f t="shared" si="39"/>
        <v>1</v>
      </c>
      <c r="J235" s="662"/>
      <c r="K235" s="21">
        <f t="shared" si="40"/>
        <v>1</v>
      </c>
      <c r="L235" s="662"/>
      <c r="M235" s="21">
        <f t="shared" si="41"/>
        <v>1</v>
      </c>
      <c r="N235" s="662"/>
      <c r="O235" s="21">
        <f t="shared" si="42"/>
        <v>1</v>
      </c>
      <c r="P235" s="662"/>
      <c r="Q235" s="21">
        <f t="shared" si="43"/>
        <v>0.06</v>
      </c>
      <c r="R235" s="659">
        <f t="shared" si="44"/>
        <v>0</v>
      </c>
      <c r="S235" s="316">
        <f t="shared" si="35"/>
        <v>0</v>
      </c>
    </row>
    <row r="236" spans="1:19">
      <c r="A236" s="150"/>
      <c r="B236" s="54"/>
      <c r="C236" s="21">
        <f t="shared" si="36"/>
        <v>1</v>
      </c>
      <c r="D236" s="662"/>
      <c r="E236" s="21">
        <f t="shared" si="37"/>
        <v>1</v>
      </c>
      <c r="F236" s="662"/>
      <c r="G236" s="21">
        <f t="shared" si="38"/>
        <v>1</v>
      </c>
      <c r="H236" s="662"/>
      <c r="I236" s="21">
        <f t="shared" si="39"/>
        <v>1</v>
      </c>
      <c r="J236" s="662"/>
      <c r="K236" s="21">
        <f t="shared" si="40"/>
        <v>1</v>
      </c>
      <c r="L236" s="662"/>
      <c r="M236" s="21">
        <f t="shared" si="41"/>
        <v>1</v>
      </c>
      <c r="N236" s="662"/>
      <c r="O236" s="21">
        <f t="shared" si="42"/>
        <v>1</v>
      </c>
      <c r="P236" s="662"/>
      <c r="Q236" s="21">
        <f t="shared" si="43"/>
        <v>0.06</v>
      </c>
      <c r="R236" s="659">
        <f t="shared" si="44"/>
        <v>0</v>
      </c>
      <c r="S236" s="316">
        <f t="shared" si="35"/>
        <v>0</v>
      </c>
    </row>
    <row r="237" spans="1:19">
      <c r="A237" s="150"/>
      <c r="B237" s="54"/>
      <c r="C237" s="21">
        <f t="shared" si="36"/>
        <v>1</v>
      </c>
      <c r="D237" s="662"/>
      <c r="E237" s="21">
        <f t="shared" si="37"/>
        <v>1</v>
      </c>
      <c r="F237" s="662"/>
      <c r="G237" s="21">
        <f t="shared" si="38"/>
        <v>1</v>
      </c>
      <c r="H237" s="662"/>
      <c r="I237" s="21">
        <f t="shared" si="39"/>
        <v>1</v>
      </c>
      <c r="J237" s="662"/>
      <c r="K237" s="21">
        <f t="shared" si="40"/>
        <v>1</v>
      </c>
      <c r="L237" s="662"/>
      <c r="M237" s="21">
        <f t="shared" si="41"/>
        <v>1</v>
      </c>
      <c r="N237" s="662"/>
      <c r="O237" s="21">
        <f t="shared" si="42"/>
        <v>1</v>
      </c>
      <c r="P237" s="662"/>
      <c r="Q237" s="21">
        <f t="shared" si="43"/>
        <v>0.06</v>
      </c>
      <c r="R237" s="659">
        <f t="shared" si="44"/>
        <v>0</v>
      </c>
      <c r="S237" s="316">
        <f t="shared" si="35"/>
        <v>0</v>
      </c>
    </row>
    <row r="238" spans="1:19">
      <c r="A238" s="150"/>
      <c r="B238" s="54"/>
      <c r="C238" s="21">
        <f t="shared" si="36"/>
        <v>1</v>
      </c>
      <c r="D238" s="662"/>
      <c r="E238" s="21">
        <f t="shared" si="37"/>
        <v>1</v>
      </c>
      <c r="F238" s="662"/>
      <c r="G238" s="21">
        <f t="shared" si="38"/>
        <v>1</v>
      </c>
      <c r="H238" s="662"/>
      <c r="I238" s="21">
        <f t="shared" si="39"/>
        <v>1</v>
      </c>
      <c r="J238" s="662"/>
      <c r="K238" s="21">
        <f t="shared" si="40"/>
        <v>1</v>
      </c>
      <c r="L238" s="662"/>
      <c r="M238" s="21">
        <f t="shared" si="41"/>
        <v>1</v>
      </c>
      <c r="N238" s="662"/>
      <c r="O238" s="21">
        <f t="shared" si="42"/>
        <v>1</v>
      </c>
      <c r="P238" s="662"/>
      <c r="Q238" s="21">
        <f t="shared" si="43"/>
        <v>0.06</v>
      </c>
      <c r="R238" s="659">
        <f t="shared" si="44"/>
        <v>0</v>
      </c>
      <c r="S238" s="316">
        <f t="shared" si="35"/>
        <v>0</v>
      </c>
    </row>
    <row r="239" spans="1:19">
      <c r="A239" s="150"/>
      <c r="B239" s="54"/>
      <c r="C239" s="21">
        <f t="shared" si="36"/>
        <v>1</v>
      </c>
      <c r="D239" s="662"/>
      <c r="E239" s="21">
        <f t="shared" si="37"/>
        <v>1</v>
      </c>
      <c r="F239" s="662"/>
      <c r="G239" s="21">
        <f t="shared" si="38"/>
        <v>1</v>
      </c>
      <c r="H239" s="662"/>
      <c r="I239" s="21">
        <f t="shared" si="39"/>
        <v>1</v>
      </c>
      <c r="J239" s="662"/>
      <c r="K239" s="21">
        <f t="shared" si="40"/>
        <v>1</v>
      </c>
      <c r="L239" s="662"/>
      <c r="M239" s="21">
        <f t="shared" si="41"/>
        <v>1</v>
      </c>
      <c r="N239" s="662"/>
      <c r="O239" s="21">
        <f t="shared" si="42"/>
        <v>1</v>
      </c>
      <c r="P239" s="662"/>
      <c r="Q239" s="21">
        <f t="shared" si="43"/>
        <v>0.06</v>
      </c>
      <c r="R239" s="659">
        <f t="shared" si="44"/>
        <v>0</v>
      </c>
      <c r="S239" s="316">
        <f t="shared" si="35"/>
        <v>0</v>
      </c>
    </row>
    <row r="240" spans="1:19">
      <c r="A240" s="150"/>
      <c r="B240" s="54"/>
      <c r="C240" s="21">
        <f t="shared" si="36"/>
        <v>1</v>
      </c>
      <c r="D240" s="662"/>
      <c r="E240" s="21">
        <f t="shared" si="37"/>
        <v>1</v>
      </c>
      <c r="F240" s="662"/>
      <c r="G240" s="21">
        <f t="shared" si="38"/>
        <v>1</v>
      </c>
      <c r="H240" s="662"/>
      <c r="I240" s="21">
        <f t="shared" si="39"/>
        <v>1</v>
      </c>
      <c r="J240" s="662"/>
      <c r="K240" s="21">
        <f t="shared" si="40"/>
        <v>1</v>
      </c>
      <c r="L240" s="662"/>
      <c r="M240" s="21">
        <f t="shared" si="41"/>
        <v>1</v>
      </c>
      <c r="N240" s="662"/>
      <c r="O240" s="21">
        <f t="shared" si="42"/>
        <v>1</v>
      </c>
      <c r="P240" s="662"/>
      <c r="Q240" s="21">
        <f t="shared" si="43"/>
        <v>0.06</v>
      </c>
      <c r="R240" s="659">
        <f t="shared" si="44"/>
        <v>0</v>
      </c>
      <c r="S240" s="316">
        <f t="shared" si="35"/>
        <v>0</v>
      </c>
    </row>
    <row r="241" spans="1:19">
      <c r="A241" s="150"/>
      <c r="B241" s="54"/>
      <c r="C241" s="21">
        <f t="shared" si="36"/>
        <v>1</v>
      </c>
      <c r="D241" s="662"/>
      <c r="E241" s="21">
        <f t="shared" si="37"/>
        <v>1</v>
      </c>
      <c r="F241" s="662"/>
      <c r="G241" s="21">
        <f t="shared" si="38"/>
        <v>1</v>
      </c>
      <c r="H241" s="662"/>
      <c r="I241" s="21">
        <f t="shared" si="39"/>
        <v>1</v>
      </c>
      <c r="J241" s="662"/>
      <c r="K241" s="21">
        <f t="shared" si="40"/>
        <v>1</v>
      </c>
      <c r="L241" s="662"/>
      <c r="M241" s="21">
        <f t="shared" si="41"/>
        <v>1</v>
      </c>
      <c r="N241" s="662"/>
      <c r="O241" s="21">
        <f t="shared" si="42"/>
        <v>1</v>
      </c>
      <c r="P241" s="662"/>
      <c r="Q241" s="21">
        <f t="shared" si="43"/>
        <v>0.06</v>
      </c>
      <c r="R241" s="659">
        <f t="shared" si="44"/>
        <v>0</v>
      </c>
      <c r="S241" s="316">
        <f t="shared" si="35"/>
        <v>0</v>
      </c>
    </row>
    <row r="242" spans="1:19">
      <c r="A242" s="150"/>
      <c r="B242" s="54"/>
      <c r="C242" s="21">
        <f t="shared" si="36"/>
        <v>1</v>
      </c>
      <c r="D242" s="662"/>
      <c r="E242" s="21">
        <f t="shared" si="37"/>
        <v>1</v>
      </c>
      <c r="F242" s="662"/>
      <c r="G242" s="21">
        <f t="shared" si="38"/>
        <v>1</v>
      </c>
      <c r="H242" s="662"/>
      <c r="I242" s="21">
        <f t="shared" si="39"/>
        <v>1</v>
      </c>
      <c r="J242" s="662"/>
      <c r="K242" s="21">
        <f t="shared" si="40"/>
        <v>1</v>
      </c>
      <c r="L242" s="662"/>
      <c r="M242" s="21">
        <f t="shared" si="41"/>
        <v>1</v>
      </c>
      <c r="N242" s="662"/>
      <c r="O242" s="21">
        <f t="shared" si="42"/>
        <v>1</v>
      </c>
      <c r="P242" s="662"/>
      <c r="Q242" s="21">
        <f t="shared" si="43"/>
        <v>0.06</v>
      </c>
      <c r="R242" s="659">
        <f t="shared" si="44"/>
        <v>0</v>
      </c>
      <c r="S242" s="316">
        <f t="shared" si="35"/>
        <v>0</v>
      </c>
    </row>
    <row r="243" spans="1:19">
      <c r="A243" s="150"/>
      <c r="B243" s="54"/>
      <c r="C243" s="21">
        <f t="shared" si="36"/>
        <v>1</v>
      </c>
      <c r="D243" s="662"/>
      <c r="E243" s="21">
        <f t="shared" si="37"/>
        <v>1</v>
      </c>
      <c r="F243" s="662"/>
      <c r="G243" s="21">
        <f t="shared" si="38"/>
        <v>1</v>
      </c>
      <c r="H243" s="662"/>
      <c r="I243" s="21">
        <f t="shared" si="39"/>
        <v>1</v>
      </c>
      <c r="J243" s="662"/>
      <c r="K243" s="21">
        <f t="shared" si="40"/>
        <v>1</v>
      </c>
      <c r="L243" s="662"/>
      <c r="M243" s="21">
        <f t="shared" si="41"/>
        <v>1</v>
      </c>
      <c r="N243" s="662"/>
      <c r="O243" s="21">
        <f t="shared" si="42"/>
        <v>1</v>
      </c>
      <c r="P243" s="662"/>
      <c r="Q243" s="21">
        <f t="shared" si="43"/>
        <v>0.06</v>
      </c>
      <c r="R243" s="659">
        <f t="shared" si="44"/>
        <v>0</v>
      </c>
      <c r="S243" s="316">
        <f t="shared" si="35"/>
        <v>0</v>
      </c>
    </row>
    <row r="244" spans="1:19">
      <c r="A244" s="150"/>
      <c r="B244" s="54"/>
      <c r="C244" s="21">
        <f t="shared" si="36"/>
        <v>1</v>
      </c>
      <c r="D244" s="662"/>
      <c r="E244" s="21">
        <f t="shared" si="37"/>
        <v>1</v>
      </c>
      <c r="F244" s="662"/>
      <c r="G244" s="21">
        <f t="shared" si="38"/>
        <v>1</v>
      </c>
      <c r="H244" s="662"/>
      <c r="I244" s="21">
        <f t="shared" si="39"/>
        <v>1</v>
      </c>
      <c r="J244" s="662"/>
      <c r="K244" s="21">
        <f t="shared" si="40"/>
        <v>1</v>
      </c>
      <c r="L244" s="662"/>
      <c r="M244" s="21">
        <f t="shared" si="41"/>
        <v>1</v>
      </c>
      <c r="N244" s="662"/>
      <c r="O244" s="21">
        <f t="shared" si="42"/>
        <v>1</v>
      </c>
      <c r="P244" s="662"/>
      <c r="Q244" s="21">
        <f t="shared" si="43"/>
        <v>0.06</v>
      </c>
      <c r="R244" s="659">
        <f t="shared" si="44"/>
        <v>0</v>
      </c>
      <c r="S244" s="316">
        <f t="shared" si="35"/>
        <v>0</v>
      </c>
    </row>
    <row r="245" spans="1:19">
      <c r="A245" s="150"/>
      <c r="B245" s="54"/>
      <c r="C245" s="21">
        <f t="shared" si="36"/>
        <v>1</v>
      </c>
      <c r="D245" s="662"/>
      <c r="E245" s="21">
        <f t="shared" si="37"/>
        <v>1</v>
      </c>
      <c r="F245" s="662"/>
      <c r="G245" s="21">
        <f t="shared" si="38"/>
        <v>1</v>
      </c>
      <c r="H245" s="662"/>
      <c r="I245" s="21">
        <f t="shared" si="39"/>
        <v>1</v>
      </c>
      <c r="J245" s="662"/>
      <c r="K245" s="21">
        <f t="shared" si="40"/>
        <v>1</v>
      </c>
      <c r="L245" s="662"/>
      <c r="M245" s="21">
        <f t="shared" si="41"/>
        <v>1</v>
      </c>
      <c r="N245" s="662"/>
      <c r="O245" s="21">
        <f t="shared" si="42"/>
        <v>1</v>
      </c>
      <c r="P245" s="662"/>
      <c r="Q245" s="21">
        <f t="shared" si="43"/>
        <v>0.06</v>
      </c>
      <c r="R245" s="659">
        <f t="shared" si="44"/>
        <v>0</v>
      </c>
      <c r="S245" s="316">
        <f t="shared" si="35"/>
        <v>0</v>
      </c>
    </row>
    <row r="246" spans="1:19">
      <c r="A246" s="150"/>
      <c r="B246" s="54"/>
      <c r="C246" s="21">
        <f t="shared" si="36"/>
        <v>1</v>
      </c>
      <c r="D246" s="662"/>
      <c r="E246" s="21">
        <f t="shared" si="37"/>
        <v>1</v>
      </c>
      <c r="F246" s="662"/>
      <c r="G246" s="21">
        <f t="shared" si="38"/>
        <v>1</v>
      </c>
      <c r="H246" s="662"/>
      <c r="I246" s="21">
        <f t="shared" si="39"/>
        <v>1</v>
      </c>
      <c r="J246" s="662"/>
      <c r="K246" s="21">
        <f t="shared" si="40"/>
        <v>1</v>
      </c>
      <c r="L246" s="662"/>
      <c r="M246" s="21">
        <f t="shared" si="41"/>
        <v>1</v>
      </c>
      <c r="N246" s="662"/>
      <c r="O246" s="21">
        <f t="shared" si="42"/>
        <v>1</v>
      </c>
      <c r="P246" s="662"/>
      <c r="Q246" s="21">
        <f t="shared" si="43"/>
        <v>0.06</v>
      </c>
      <c r="R246" s="659">
        <f t="shared" si="44"/>
        <v>0</v>
      </c>
      <c r="S246" s="316">
        <f t="shared" si="35"/>
        <v>0</v>
      </c>
    </row>
    <row r="247" spans="1:19">
      <c r="A247" s="150"/>
      <c r="B247" s="54"/>
      <c r="C247" s="21">
        <f t="shared" si="36"/>
        <v>1</v>
      </c>
      <c r="D247" s="662"/>
      <c r="E247" s="21">
        <f t="shared" si="37"/>
        <v>1</v>
      </c>
      <c r="F247" s="662"/>
      <c r="G247" s="21">
        <f t="shared" si="38"/>
        <v>1</v>
      </c>
      <c r="H247" s="662"/>
      <c r="I247" s="21">
        <f t="shared" si="39"/>
        <v>1</v>
      </c>
      <c r="J247" s="662"/>
      <c r="K247" s="21">
        <f t="shared" si="40"/>
        <v>1</v>
      </c>
      <c r="L247" s="662"/>
      <c r="M247" s="21">
        <f t="shared" si="41"/>
        <v>1</v>
      </c>
      <c r="N247" s="662"/>
      <c r="O247" s="21">
        <f t="shared" si="42"/>
        <v>1</v>
      </c>
      <c r="P247" s="662"/>
      <c r="Q247" s="21">
        <f t="shared" si="43"/>
        <v>0.06</v>
      </c>
      <c r="R247" s="659">
        <f t="shared" si="44"/>
        <v>0</v>
      </c>
      <c r="S247" s="316">
        <f t="shared" si="35"/>
        <v>0</v>
      </c>
    </row>
    <row r="248" spans="1:19">
      <c r="A248" s="150"/>
      <c r="B248" s="54"/>
      <c r="C248" s="21">
        <f t="shared" si="36"/>
        <v>1</v>
      </c>
      <c r="D248" s="662"/>
      <c r="E248" s="21">
        <f t="shared" si="37"/>
        <v>1</v>
      </c>
      <c r="F248" s="662"/>
      <c r="G248" s="21">
        <f t="shared" si="38"/>
        <v>1</v>
      </c>
      <c r="H248" s="662"/>
      <c r="I248" s="21">
        <f t="shared" si="39"/>
        <v>1</v>
      </c>
      <c r="J248" s="662"/>
      <c r="K248" s="21">
        <f t="shared" si="40"/>
        <v>1</v>
      </c>
      <c r="L248" s="662"/>
      <c r="M248" s="21">
        <f t="shared" si="41"/>
        <v>1</v>
      </c>
      <c r="N248" s="662"/>
      <c r="O248" s="21">
        <f t="shared" si="42"/>
        <v>1</v>
      </c>
      <c r="P248" s="662"/>
      <c r="Q248" s="21">
        <f t="shared" si="43"/>
        <v>0.06</v>
      </c>
      <c r="R248" s="659">
        <f t="shared" si="44"/>
        <v>0</v>
      </c>
      <c r="S248" s="316">
        <f t="shared" si="35"/>
        <v>0</v>
      </c>
    </row>
    <row r="249" spans="1:19">
      <c r="A249" s="150"/>
      <c r="B249" s="54"/>
      <c r="C249" s="21">
        <f t="shared" si="36"/>
        <v>1</v>
      </c>
      <c r="D249" s="662"/>
      <c r="E249" s="21">
        <f t="shared" si="37"/>
        <v>1</v>
      </c>
      <c r="F249" s="662"/>
      <c r="G249" s="21">
        <f t="shared" si="38"/>
        <v>1</v>
      </c>
      <c r="H249" s="662"/>
      <c r="I249" s="21">
        <f t="shared" si="39"/>
        <v>1</v>
      </c>
      <c r="J249" s="662"/>
      <c r="K249" s="21">
        <f t="shared" si="40"/>
        <v>1</v>
      </c>
      <c r="L249" s="662"/>
      <c r="M249" s="21">
        <f t="shared" si="41"/>
        <v>1</v>
      </c>
      <c r="N249" s="662"/>
      <c r="O249" s="21">
        <f t="shared" si="42"/>
        <v>1</v>
      </c>
      <c r="P249" s="662"/>
      <c r="Q249" s="21">
        <f t="shared" si="43"/>
        <v>0.06</v>
      </c>
      <c r="R249" s="659">
        <f t="shared" si="44"/>
        <v>0</v>
      </c>
      <c r="S249" s="316">
        <f t="shared" si="35"/>
        <v>0</v>
      </c>
    </row>
    <row r="250" spans="1:19">
      <c r="A250" s="150"/>
      <c r="B250" s="54"/>
      <c r="C250" s="21">
        <f t="shared" si="36"/>
        <v>1</v>
      </c>
      <c r="D250" s="662"/>
      <c r="E250" s="21">
        <f t="shared" si="37"/>
        <v>1</v>
      </c>
      <c r="F250" s="662"/>
      <c r="G250" s="21">
        <f t="shared" si="38"/>
        <v>1</v>
      </c>
      <c r="H250" s="662"/>
      <c r="I250" s="21">
        <f t="shared" si="39"/>
        <v>1</v>
      </c>
      <c r="J250" s="662"/>
      <c r="K250" s="21">
        <f t="shared" si="40"/>
        <v>1</v>
      </c>
      <c r="L250" s="662"/>
      <c r="M250" s="21">
        <f t="shared" si="41"/>
        <v>1</v>
      </c>
      <c r="N250" s="662"/>
      <c r="O250" s="21">
        <f t="shared" si="42"/>
        <v>1</v>
      </c>
      <c r="P250" s="662"/>
      <c r="Q250" s="21">
        <f t="shared" si="43"/>
        <v>0.06</v>
      </c>
      <c r="R250" s="659">
        <f t="shared" si="44"/>
        <v>0</v>
      </c>
      <c r="S250" s="316">
        <f t="shared" si="35"/>
        <v>0</v>
      </c>
    </row>
    <row r="251" spans="1:19">
      <c r="A251" s="150"/>
      <c r="B251" s="54"/>
      <c r="C251" s="21">
        <f t="shared" si="36"/>
        <v>1</v>
      </c>
      <c r="D251" s="662"/>
      <c r="E251" s="21">
        <f t="shared" si="37"/>
        <v>1</v>
      </c>
      <c r="F251" s="662"/>
      <c r="G251" s="21">
        <f t="shared" si="38"/>
        <v>1</v>
      </c>
      <c r="H251" s="662"/>
      <c r="I251" s="21">
        <f t="shared" si="39"/>
        <v>1</v>
      </c>
      <c r="J251" s="662"/>
      <c r="K251" s="21">
        <f t="shared" si="40"/>
        <v>1</v>
      </c>
      <c r="L251" s="662"/>
      <c r="M251" s="21">
        <f t="shared" si="41"/>
        <v>1</v>
      </c>
      <c r="N251" s="662"/>
      <c r="O251" s="21">
        <f t="shared" si="42"/>
        <v>1</v>
      </c>
      <c r="P251" s="662"/>
      <c r="Q251" s="21">
        <f t="shared" si="43"/>
        <v>0.06</v>
      </c>
      <c r="R251" s="659">
        <f t="shared" si="44"/>
        <v>0</v>
      </c>
      <c r="S251" s="316">
        <f t="shared" si="35"/>
        <v>0</v>
      </c>
    </row>
    <row r="252" spans="1:19">
      <c r="A252" s="150"/>
      <c r="B252" s="54"/>
      <c r="C252" s="21">
        <f t="shared" si="36"/>
        <v>1</v>
      </c>
      <c r="D252" s="662"/>
      <c r="E252" s="21">
        <f t="shared" si="37"/>
        <v>1</v>
      </c>
      <c r="F252" s="662"/>
      <c r="G252" s="21">
        <f t="shared" si="38"/>
        <v>1</v>
      </c>
      <c r="H252" s="662"/>
      <c r="I252" s="21">
        <f t="shared" si="39"/>
        <v>1</v>
      </c>
      <c r="J252" s="662"/>
      <c r="K252" s="21">
        <f t="shared" si="40"/>
        <v>1</v>
      </c>
      <c r="L252" s="662"/>
      <c r="M252" s="21">
        <f t="shared" si="41"/>
        <v>1</v>
      </c>
      <c r="N252" s="662"/>
      <c r="O252" s="21">
        <f t="shared" si="42"/>
        <v>1</v>
      </c>
      <c r="P252" s="662"/>
      <c r="Q252" s="21">
        <f t="shared" si="43"/>
        <v>0.06</v>
      </c>
      <c r="R252" s="659">
        <f t="shared" si="44"/>
        <v>0</v>
      </c>
      <c r="S252" s="316">
        <f t="shared" si="35"/>
        <v>0</v>
      </c>
    </row>
    <row r="253" spans="1:19">
      <c r="A253" s="150"/>
      <c r="B253" s="54"/>
      <c r="C253" s="21">
        <f t="shared" si="36"/>
        <v>1</v>
      </c>
      <c r="D253" s="662"/>
      <c r="E253" s="21">
        <f t="shared" si="37"/>
        <v>1</v>
      </c>
      <c r="F253" s="662"/>
      <c r="G253" s="21">
        <f t="shared" si="38"/>
        <v>1</v>
      </c>
      <c r="H253" s="662"/>
      <c r="I253" s="21">
        <f t="shared" si="39"/>
        <v>1</v>
      </c>
      <c r="J253" s="662"/>
      <c r="K253" s="21">
        <f t="shared" si="40"/>
        <v>1</v>
      </c>
      <c r="L253" s="662"/>
      <c r="M253" s="21">
        <f t="shared" si="41"/>
        <v>1</v>
      </c>
      <c r="N253" s="662"/>
      <c r="O253" s="21">
        <f t="shared" si="42"/>
        <v>1</v>
      </c>
      <c r="P253" s="662"/>
      <c r="Q253" s="21">
        <f t="shared" si="43"/>
        <v>0.06</v>
      </c>
      <c r="R253" s="659">
        <f t="shared" si="44"/>
        <v>0</v>
      </c>
      <c r="S253" s="316">
        <f t="shared" si="35"/>
        <v>0</v>
      </c>
    </row>
    <row r="254" spans="1:19">
      <c r="A254" s="150"/>
      <c r="B254" s="54"/>
      <c r="C254" s="21">
        <f t="shared" si="36"/>
        <v>1</v>
      </c>
      <c r="D254" s="662"/>
      <c r="E254" s="21">
        <f t="shared" si="37"/>
        <v>1</v>
      </c>
      <c r="F254" s="662"/>
      <c r="G254" s="21">
        <f t="shared" si="38"/>
        <v>1</v>
      </c>
      <c r="H254" s="662"/>
      <c r="I254" s="21">
        <f t="shared" si="39"/>
        <v>1</v>
      </c>
      <c r="J254" s="662"/>
      <c r="K254" s="21">
        <f t="shared" si="40"/>
        <v>1</v>
      </c>
      <c r="L254" s="662"/>
      <c r="M254" s="21">
        <f t="shared" si="41"/>
        <v>1</v>
      </c>
      <c r="N254" s="662"/>
      <c r="O254" s="21">
        <f t="shared" si="42"/>
        <v>1</v>
      </c>
      <c r="P254" s="662"/>
      <c r="Q254" s="21">
        <f t="shared" si="43"/>
        <v>0.06</v>
      </c>
      <c r="R254" s="659">
        <f t="shared" si="44"/>
        <v>0</v>
      </c>
      <c r="S254" s="316">
        <f t="shared" si="35"/>
        <v>0</v>
      </c>
    </row>
    <row r="255" spans="1:19">
      <c r="A255" s="150"/>
      <c r="B255" s="54"/>
      <c r="C255" s="21">
        <f t="shared" si="36"/>
        <v>1</v>
      </c>
      <c r="D255" s="662"/>
      <c r="E255" s="21">
        <f t="shared" si="37"/>
        <v>1</v>
      </c>
      <c r="F255" s="662"/>
      <c r="G255" s="21">
        <f t="shared" si="38"/>
        <v>1</v>
      </c>
      <c r="H255" s="662"/>
      <c r="I255" s="21">
        <f t="shared" si="39"/>
        <v>1</v>
      </c>
      <c r="J255" s="662"/>
      <c r="K255" s="21">
        <f t="shared" si="40"/>
        <v>1</v>
      </c>
      <c r="L255" s="662"/>
      <c r="M255" s="21">
        <f t="shared" si="41"/>
        <v>1</v>
      </c>
      <c r="N255" s="662"/>
      <c r="O255" s="21">
        <f t="shared" si="42"/>
        <v>1</v>
      </c>
      <c r="P255" s="662"/>
      <c r="Q255" s="21">
        <f t="shared" si="43"/>
        <v>0.06</v>
      </c>
      <c r="R255" s="659">
        <f t="shared" si="44"/>
        <v>0</v>
      </c>
      <c r="S255" s="316">
        <f t="shared" si="35"/>
        <v>0</v>
      </c>
    </row>
    <row r="256" spans="1:19">
      <c r="A256" s="150"/>
      <c r="B256" s="54"/>
      <c r="C256" s="21">
        <f t="shared" si="36"/>
        <v>1</v>
      </c>
      <c r="D256" s="662"/>
      <c r="E256" s="21">
        <f t="shared" si="37"/>
        <v>1</v>
      </c>
      <c r="F256" s="662"/>
      <c r="G256" s="21">
        <f t="shared" si="38"/>
        <v>1</v>
      </c>
      <c r="H256" s="662"/>
      <c r="I256" s="21">
        <f t="shared" si="39"/>
        <v>1</v>
      </c>
      <c r="J256" s="662"/>
      <c r="K256" s="21">
        <f t="shared" si="40"/>
        <v>1</v>
      </c>
      <c r="L256" s="662"/>
      <c r="M256" s="21">
        <f t="shared" si="41"/>
        <v>1</v>
      </c>
      <c r="N256" s="662"/>
      <c r="O256" s="21">
        <f t="shared" si="42"/>
        <v>1</v>
      </c>
      <c r="P256" s="662"/>
      <c r="Q256" s="21">
        <f t="shared" si="43"/>
        <v>0.06</v>
      </c>
      <c r="R256" s="659">
        <f t="shared" si="44"/>
        <v>0</v>
      </c>
      <c r="S256" s="316">
        <f t="shared" si="35"/>
        <v>0</v>
      </c>
    </row>
    <row r="257" spans="1:19">
      <c r="A257" s="150"/>
      <c r="B257" s="54"/>
      <c r="C257" s="21">
        <f t="shared" si="36"/>
        <v>1</v>
      </c>
      <c r="D257" s="662"/>
      <c r="E257" s="21">
        <f t="shared" si="37"/>
        <v>1</v>
      </c>
      <c r="F257" s="662"/>
      <c r="G257" s="21">
        <f t="shared" si="38"/>
        <v>1</v>
      </c>
      <c r="H257" s="662"/>
      <c r="I257" s="21">
        <f t="shared" si="39"/>
        <v>1</v>
      </c>
      <c r="J257" s="662"/>
      <c r="K257" s="21">
        <f t="shared" si="40"/>
        <v>1</v>
      </c>
      <c r="L257" s="662"/>
      <c r="M257" s="21">
        <f t="shared" si="41"/>
        <v>1</v>
      </c>
      <c r="N257" s="662"/>
      <c r="O257" s="21">
        <f t="shared" si="42"/>
        <v>1</v>
      </c>
      <c r="P257" s="662"/>
      <c r="Q257" s="21">
        <f t="shared" si="43"/>
        <v>0.06</v>
      </c>
      <c r="R257" s="659">
        <f t="shared" si="44"/>
        <v>0</v>
      </c>
      <c r="S257" s="316">
        <f t="shared" si="35"/>
        <v>0</v>
      </c>
    </row>
    <row r="258" spans="1:19">
      <c r="A258" s="150"/>
      <c r="B258" s="54"/>
      <c r="C258" s="21">
        <f t="shared" si="36"/>
        <v>1</v>
      </c>
      <c r="D258" s="662"/>
      <c r="E258" s="21">
        <f t="shared" si="37"/>
        <v>1</v>
      </c>
      <c r="F258" s="662"/>
      <c r="G258" s="21">
        <f t="shared" si="38"/>
        <v>1</v>
      </c>
      <c r="H258" s="662"/>
      <c r="I258" s="21">
        <f t="shared" si="39"/>
        <v>1</v>
      </c>
      <c r="J258" s="662"/>
      <c r="K258" s="21">
        <f t="shared" si="40"/>
        <v>1</v>
      </c>
      <c r="L258" s="662"/>
      <c r="M258" s="21">
        <f t="shared" si="41"/>
        <v>1</v>
      </c>
      <c r="N258" s="662"/>
      <c r="O258" s="21">
        <f t="shared" si="42"/>
        <v>1</v>
      </c>
      <c r="P258" s="662"/>
      <c r="Q258" s="21">
        <f t="shared" si="43"/>
        <v>0.06</v>
      </c>
      <c r="R258" s="659">
        <f t="shared" si="44"/>
        <v>0</v>
      </c>
      <c r="S258" s="316">
        <f t="shared" si="35"/>
        <v>0</v>
      </c>
    </row>
    <row r="259" spans="1:19">
      <c r="A259" s="150"/>
      <c r="B259" s="54"/>
      <c r="C259" s="21">
        <f t="shared" si="36"/>
        <v>1</v>
      </c>
      <c r="D259" s="662"/>
      <c r="E259" s="21">
        <f t="shared" si="37"/>
        <v>1</v>
      </c>
      <c r="F259" s="662"/>
      <c r="G259" s="21">
        <f t="shared" si="38"/>
        <v>1</v>
      </c>
      <c r="H259" s="662"/>
      <c r="I259" s="21">
        <f t="shared" si="39"/>
        <v>1</v>
      </c>
      <c r="J259" s="662"/>
      <c r="K259" s="21">
        <f t="shared" si="40"/>
        <v>1</v>
      </c>
      <c r="L259" s="662"/>
      <c r="M259" s="21">
        <f t="shared" si="41"/>
        <v>1</v>
      </c>
      <c r="N259" s="662"/>
      <c r="O259" s="21">
        <f t="shared" si="42"/>
        <v>1</v>
      </c>
      <c r="P259" s="662"/>
      <c r="Q259" s="21">
        <f t="shared" si="43"/>
        <v>0.06</v>
      </c>
      <c r="R259" s="659">
        <f t="shared" si="44"/>
        <v>0</v>
      </c>
      <c r="S259" s="316">
        <f t="shared" si="35"/>
        <v>0</v>
      </c>
    </row>
    <row r="260" spans="1:19">
      <c r="A260" s="150"/>
      <c r="B260" s="54"/>
      <c r="C260" s="21">
        <f t="shared" si="36"/>
        <v>1</v>
      </c>
      <c r="D260" s="662"/>
      <c r="E260" s="21">
        <f t="shared" si="37"/>
        <v>1</v>
      </c>
      <c r="F260" s="662"/>
      <c r="G260" s="21">
        <f t="shared" si="38"/>
        <v>1</v>
      </c>
      <c r="H260" s="662"/>
      <c r="I260" s="21">
        <f t="shared" si="39"/>
        <v>1</v>
      </c>
      <c r="J260" s="662"/>
      <c r="K260" s="21">
        <f t="shared" si="40"/>
        <v>1</v>
      </c>
      <c r="L260" s="662"/>
      <c r="M260" s="21">
        <f t="shared" si="41"/>
        <v>1</v>
      </c>
      <c r="N260" s="662"/>
      <c r="O260" s="21">
        <f t="shared" si="42"/>
        <v>1</v>
      </c>
      <c r="P260" s="662"/>
      <c r="Q260" s="21">
        <f t="shared" si="43"/>
        <v>0.06</v>
      </c>
      <c r="R260" s="659">
        <f t="shared" si="44"/>
        <v>0</v>
      </c>
      <c r="S260" s="316">
        <f t="shared" si="35"/>
        <v>0</v>
      </c>
    </row>
    <row r="261" spans="1:19">
      <c r="A261" s="150"/>
      <c r="B261" s="54"/>
      <c r="C261" s="21">
        <f t="shared" si="36"/>
        <v>1</v>
      </c>
      <c r="D261" s="662"/>
      <c r="E261" s="21">
        <f t="shared" si="37"/>
        <v>1</v>
      </c>
      <c r="F261" s="662"/>
      <c r="G261" s="21">
        <f t="shared" si="38"/>
        <v>1</v>
      </c>
      <c r="H261" s="662"/>
      <c r="I261" s="21">
        <f t="shared" si="39"/>
        <v>1</v>
      </c>
      <c r="J261" s="662"/>
      <c r="K261" s="21">
        <f t="shared" si="40"/>
        <v>1</v>
      </c>
      <c r="L261" s="662"/>
      <c r="M261" s="21">
        <f t="shared" si="41"/>
        <v>1</v>
      </c>
      <c r="N261" s="662"/>
      <c r="O261" s="21">
        <f t="shared" si="42"/>
        <v>1</v>
      </c>
      <c r="P261" s="662"/>
      <c r="Q261" s="21">
        <f t="shared" si="43"/>
        <v>0.06</v>
      </c>
      <c r="R261" s="659">
        <f t="shared" si="44"/>
        <v>0</v>
      </c>
      <c r="S261" s="316">
        <f t="shared" si="35"/>
        <v>0</v>
      </c>
    </row>
    <row r="262" spans="1:19">
      <c r="A262" s="150"/>
      <c r="B262" s="54"/>
      <c r="C262" s="21">
        <f t="shared" si="36"/>
        <v>1</v>
      </c>
      <c r="D262" s="662"/>
      <c r="E262" s="21">
        <f t="shared" si="37"/>
        <v>1</v>
      </c>
      <c r="F262" s="662"/>
      <c r="G262" s="21">
        <f t="shared" si="38"/>
        <v>1</v>
      </c>
      <c r="H262" s="662"/>
      <c r="I262" s="21">
        <f t="shared" si="39"/>
        <v>1</v>
      </c>
      <c r="J262" s="662"/>
      <c r="K262" s="21">
        <f t="shared" si="40"/>
        <v>1</v>
      </c>
      <c r="L262" s="662"/>
      <c r="M262" s="21">
        <f t="shared" si="41"/>
        <v>1</v>
      </c>
      <c r="N262" s="662"/>
      <c r="O262" s="21">
        <f t="shared" si="42"/>
        <v>1</v>
      </c>
      <c r="P262" s="662"/>
      <c r="Q262" s="21">
        <f t="shared" si="43"/>
        <v>0.06</v>
      </c>
      <c r="R262" s="659">
        <f t="shared" si="44"/>
        <v>0</v>
      </c>
      <c r="S262" s="316">
        <f t="shared" si="35"/>
        <v>0</v>
      </c>
    </row>
    <row r="263" spans="1:19">
      <c r="A263" s="150"/>
      <c r="B263" s="54"/>
      <c r="C263" s="21">
        <f t="shared" si="36"/>
        <v>1</v>
      </c>
      <c r="D263" s="662"/>
      <c r="E263" s="21">
        <f t="shared" si="37"/>
        <v>1</v>
      </c>
      <c r="F263" s="662"/>
      <c r="G263" s="21">
        <f t="shared" si="38"/>
        <v>1</v>
      </c>
      <c r="H263" s="662"/>
      <c r="I263" s="21">
        <f t="shared" si="39"/>
        <v>1</v>
      </c>
      <c r="J263" s="662"/>
      <c r="K263" s="21">
        <f t="shared" si="40"/>
        <v>1</v>
      </c>
      <c r="L263" s="662"/>
      <c r="M263" s="21">
        <f t="shared" si="41"/>
        <v>1</v>
      </c>
      <c r="N263" s="662"/>
      <c r="O263" s="21">
        <f t="shared" si="42"/>
        <v>1</v>
      </c>
      <c r="P263" s="662"/>
      <c r="Q263" s="21">
        <f t="shared" si="43"/>
        <v>0.06</v>
      </c>
      <c r="R263" s="659">
        <f t="shared" si="44"/>
        <v>0</v>
      </c>
      <c r="S263" s="316">
        <f t="shared" si="35"/>
        <v>0</v>
      </c>
    </row>
    <row r="264" spans="1:19">
      <c r="A264" s="150"/>
      <c r="B264" s="54"/>
      <c r="C264" s="21">
        <f t="shared" si="36"/>
        <v>1</v>
      </c>
      <c r="D264" s="662"/>
      <c r="E264" s="21">
        <f t="shared" si="37"/>
        <v>1</v>
      </c>
      <c r="F264" s="662"/>
      <c r="G264" s="21">
        <f t="shared" si="38"/>
        <v>1</v>
      </c>
      <c r="H264" s="662"/>
      <c r="I264" s="21">
        <f t="shared" si="39"/>
        <v>1</v>
      </c>
      <c r="J264" s="662"/>
      <c r="K264" s="21">
        <f t="shared" si="40"/>
        <v>1</v>
      </c>
      <c r="L264" s="662"/>
      <c r="M264" s="21">
        <f t="shared" si="41"/>
        <v>1</v>
      </c>
      <c r="N264" s="662"/>
      <c r="O264" s="21">
        <f t="shared" si="42"/>
        <v>1</v>
      </c>
      <c r="P264" s="662"/>
      <c r="Q264" s="21">
        <f t="shared" si="43"/>
        <v>0.06</v>
      </c>
      <c r="R264" s="659">
        <f t="shared" si="44"/>
        <v>0</v>
      </c>
      <c r="S264" s="316">
        <f t="shared" si="35"/>
        <v>0</v>
      </c>
    </row>
    <row r="265" spans="1:19">
      <c r="A265" s="150"/>
      <c r="B265" s="54"/>
      <c r="C265" s="21">
        <f t="shared" si="36"/>
        <v>1</v>
      </c>
      <c r="D265" s="662"/>
      <c r="E265" s="21">
        <f t="shared" si="37"/>
        <v>1</v>
      </c>
      <c r="F265" s="662"/>
      <c r="G265" s="21">
        <f t="shared" si="38"/>
        <v>1</v>
      </c>
      <c r="H265" s="662"/>
      <c r="I265" s="21">
        <f t="shared" si="39"/>
        <v>1</v>
      </c>
      <c r="J265" s="662"/>
      <c r="K265" s="21">
        <f t="shared" si="40"/>
        <v>1</v>
      </c>
      <c r="L265" s="662"/>
      <c r="M265" s="21">
        <f t="shared" si="41"/>
        <v>1</v>
      </c>
      <c r="N265" s="662"/>
      <c r="O265" s="21">
        <f t="shared" si="42"/>
        <v>1</v>
      </c>
      <c r="P265" s="662"/>
      <c r="Q265" s="21">
        <f t="shared" si="43"/>
        <v>0.06</v>
      </c>
      <c r="R265" s="659">
        <f t="shared" si="44"/>
        <v>0</v>
      </c>
      <c r="S265" s="316">
        <f t="shared" si="35"/>
        <v>0</v>
      </c>
    </row>
    <row r="266" spans="1:19">
      <c r="A266" s="150"/>
      <c r="B266" s="54"/>
      <c r="C266" s="21">
        <f t="shared" si="36"/>
        <v>1</v>
      </c>
      <c r="D266" s="662"/>
      <c r="E266" s="21">
        <f t="shared" si="37"/>
        <v>1</v>
      </c>
      <c r="F266" s="662"/>
      <c r="G266" s="21">
        <f t="shared" si="38"/>
        <v>1</v>
      </c>
      <c r="H266" s="662"/>
      <c r="I266" s="21">
        <f t="shared" si="39"/>
        <v>1</v>
      </c>
      <c r="J266" s="662"/>
      <c r="K266" s="21">
        <f t="shared" si="40"/>
        <v>1</v>
      </c>
      <c r="L266" s="662"/>
      <c r="M266" s="21">
        <f t="shared" si="41"/>
        <v>1</v>
      </c>
      <c r="N266" s="662"/>
      <c r="O266" s="21">
        <f t="shared" si="42"/>
        <v>1</v>
      </c>
      <c r="P266" s="662"/>
      <c r="Q266" s="21">
        <f t="shared" si="43"/>
        <v>0.06</v>
      </c>
      <c r="R266" s="659">
        <f t="shared" si="44"/>
        <v>0</v>
      </c>
      <c r="S266" s="316">
        <f t="shared" si="35"/>
        <v>0</v>
      </c>
    </row>
    <row r="267" spans="1:19">
      <c r="A267" s="150"/>
      <c r="B267" s="54"/>
      <c r="C267" s="21">
        <f t="shared" si="36"/>
        <v>1</v>
      </c>
      <c r="D267" s="662"/>
      <c r="E267" s="21">
        <f t="shared" si="37"/>
        <v>1</v>
      </c>
      <c r="F267" s="662"/>
      <c r="G267" s="21">
        <f t="shared" si="38"/>
        <v>1</v>
      </c>
      <c r="H267" s="662"/>
      <c r="I267" s="21">
        <f t="shared" si="39"/>
        <v>1</v>
      </c>
      <c r="J267" s="662"/>
      <c r="K267" s="21">
        <f t="shared" si="40"/>
        <v>1</v>
      </c>
      <c r="L267" s="662"/>
      <c r="M267" s="21">
        <f t="shared" si="41"/>
        <v>1</v>
      </c>
      <c r="N267" s="662"/>
      <c r="O267" s="21">
        <f t="shared" si="42"/>
        <v>1</v>
      </c>
      <c r="P267" s="662"/>
      <c r="Q267" s="21">
        <f t="shared" si="43"/>
        <v>0.06</v>
      </c>
      <c r="R267" s="659">
        <f t="shared" si="44"/>
        <v>0</v>
      </c>
      <c r="S267" s="316">
        <f t="shared" si="35"/>
        <v>0</v>
      </c>
    </row>
    <row r="268" spans="1:19">
      <c r="A268" s="150"/>
      <c r="B268" s="54"/>
      <c r="C268" s="21">
        <f t="shared" si="36"/>
        <v>1</v>
      </c>
      <c r="D268" s="662"/>
      <c r="E268" s="21">
        <f t="shared" si="37"/>
        <v>1</v>
      </c>
      <c r="F268" s="662"/>
      <c r="G268" s="21">
        <f t="shared" si="38"/>
        <v>1</v>
      </c>
      <c r="H268" s="662"/>
      <c r="I268" s="21">
        <f t="shared" si="39"/>
        <v>1</v>
      </c>
      <c r="J268" s="662"/>
      <c r="K268" s="21">
        <f t="shared" si="40"/>
        <v>1</v>
      </c>
      <c r="L268" s="662"/>
      <c r="M268" s="21">
        <f t="shared" si="41"/>
        <v>1</v>
      </c>
      <c r="N268" s="662"/>
      <c r="O268" s="21">
        <f t="shared" si="42"/>
        <v>1</v>
      </c>
      <c r="P268" s="662"/>
      <c r="Q268" s="21">
        <f t="shared" si="43"/>
        <v>0.06</v>
      </c>
      <c r="R268" s="659">
        <f t="shared" si="44"/>
        <v>0</v>
      </c>
      <c r="S268" s="316">
        <f t="shared" si="35"/>
        <v>0</v>
      </c>
    </row>
    <row r="269" spans="1:19">
      <c r="A269" s="150"/>
      <c r="B269" s="54"/>
      <c r="C269" s="21">
        <f t="shared" si="36"/>
        <v>1</v>
      </c>
      <c r="D269" s="662"/>
      <c r="E269" s="21">
        <f t="shared" si="37"/>
        <v>1</v>
      </c>
      <c r="F269" s="662"/>
      <c r="G269" s="21">
        <f t="shared" si="38"/>
        <v>1</v>
      </c>
      <c r="H269" s="662"/>
      <c r="I269" s="21">
        <f t="shared" si="39"/>
        <v>1</v>
      </c>
      <c r="J269" s="662"/>
      <c r="K269" s="21">
        <f t="shared" si="40"/>
        <v>1</v>
      </c>
      <c r="L269" s="662"/>
      <c r="M269" s="21">
        <f t="shared" si="41"/>
        <v>1</v>
      </c>
      <c r="N269" s="662"/>
      <c r="O269" s="21">
        <f t="shared" si="42"/>
        <v>1</v>
      </c>
      <c r="P269" s="662"/>
      <c r="Q269" s="21">
        <f t="shared" si="43"/>
        <v>0.06</v>
      </c>
      <c r="R269" s="659">
        <f t="shared" si="44"/>
        <v>0</v>
      </c>
      <c r="S269" s="316">
        <f t="shared" si="35"/>
        <v>0</v>
      </c>
    </row>
    <row r="270" spans="1:19">
      <c r="A270" s="150"/>
      <c r="B270" s="54"/>
      <c r="C270" s="21">
        <f t="shared" si="36"/>
        <v>1</v>
      </c>
      <c r="D270" s="662"/>
      <c r="E270" s="21">
        <f t="shared" si="37"/>
        <v>1</v>
      </c>
      <c r="F270" s="662"/>
      <c r="G270" s="21">
        <f t="shared" si="38"/>
        <v>1</v>
      </c>
      <c r="H270" s="662"/>
      <c r="I270" s="21">
        <f t="shared" si="39"/>
        <v>1</v>
      </c>
      <c r="J270" s="662"/>
      <c r="K270" s="21">
        <f t="shared" si="40"/>
        <v>1</v>
      </c>
      <c r="L270" s="662"/>
      <c r="M270" s="21">
        <f t="shared" si="41"/>
        <v>1</v>
      </c>
      <c r="N270" s="662"/>
      <c r="O270" s="21">
        <f t="shared" si="42"/>
        <v>1</v>
      </c>
      <c r="P270" s="662"/>
      <c r="Q270" s="21">
        <f t="shared" si="43"/>
        <v>0.06</v>
      </c>
      <c r="R270" s="659">
        <f t="shared" si="44"/>
        <v>0</v>
      </c>
      <c r="S270" s="316">
        <f t="shared" si="35"/>
        <v>0</v>
      </c>
    </row>
    <row r="271" spans="1:19">
      <c r="A271" s="150"/>
      <c r="B271" s="54"/>
      <c r="C271" s="21">
        <f t="shared" si="36"/>
        <v>1</v>
      </c>
      <c r="D271" s="662"/>
      <c r="E271" s="21">
        <f t="shared" si="37"/>
        <v>1</v>
      </c>
      <c r="F271" s="662"/>
      <c r="G271" s="21">
        <f t="shared" si="38"/>
        <v>1</v>
      </c>
      <c r="H271" s="662"/>
      <c r="I271" s="21">
        <f t="shared" si="39"/>
        <v>1</v>
      </c>
      <c r="J271" s="662"/>
      <c r="K271" s="21">
        <f t="shared" si="40"/>
        <v>1</v>
      </c>
      <c r="L271" s="662"/>
      <c r="M271" s="21">
        <f t="shared" si="41"/>
        <v>1</v>
      </c>
      <c r="N271" s="662"/>
      <c r="O271" s="21">
        <f t="shared" si="42"/>
        <v>1</v>
      </c>
      <c r="P271" s="662"/>
      <c r="Q271" s="21">
        <f t="shared" si="43"/>
        <v>0.06</v>
      </c>
      <c r="R271" s="659">
        <f t="shared" si="44"/>
        <v>0</v>
      </c>
      <c r="S271" s="316">
        <f t="shared" si="35"/>
        <v>0</v>
      </c>
    </row>
    <row r="272" spans="1:19">
      <c r="A272" s="150"/>
      <c r="B272" s="54"/>
      <c r="C272" s="21">
        <f t="shared" si="36"/>
        <v>1</v>
      </c>
      <c r="D272" s="662"/>
      <c r="E272" s="21">
        <f t="shared" si="37"/>
        <v>1</v>
      </c>
      <c r="F272" s="662"/>
      <c r="G272" s="21">
        <f t="shared" si="38"/>
        <v>1</v>
      </c>
      <c r="H272" s="662"/>
      <c r="I272" s="21">
        <f t="shared" si="39"/>
        <v>1</v>
      </c>
      <c r="J272" s="662"/>
      <c r="K272" s="21">
        <f t="shared" si="40"/>
        <v>1</v>
      </c>
      <c r="L272" s="662"/>
      <c r="M272" s="21">
        <f t="shared" si="41"/>
        <v>1</v>
      </c>
      <c r="N272" s="662"/>
      <c r="O272" s="21">
        <f t="shared" si="42"/>
        <v>1</v>
      </c>
      <c r="P272" s="662"/>
      <c r="Q272" s="21">
        <f t="shared" si="43"/>
        <v>0.06</v>
      </c>
      <c r="R272" s="659">
        <f t="shared" si="44"/>
        <v>0</v>
      </c>
      <c r="S272" s="316">
        <f t="shared" si="35"/>
        <v>0</v>
      </c>
    </row>
    <row r="273" spans="1:19">
      <c r="A273" s="150"/>
      <c r="B273" s="54"/>
      <c r="C273" s="21">
        <f t="shared" si="36"/>
        <v>1</v>
      </c>
      <c r="D273" s="662"/>
      <c r="E273" s="21">
        <f t="shared" si="37"/>
        <v>1</v>
      </c>
      <c r="F273" s="662"/>
      <c r="G273" s="21">
        <f t="shared" si="38"/>
        <v>1</v>
      </c>
      <c r="H273" s="662"/>
      <c r="I273" s="21">
        <f t="shared" si="39"/>
        <v>1</v>
      </c>
      <c r="J273" s="662"/>
      <c r="K273" s="21">
        <f t="shared" si="40"/>
        <v>1</v>
      </c>
      <c r="L273" s="662"/>
      <c r="M273" s="21">
        <f t="shared" si="41"/>
        <v>1</v>
      </c>
      <c r="N273" s="662"/>
      <c r="O273" s="21">
        <f t="shared" si="42"/>
        <v>1</v>
      </c>
      <c r="P273" s="662"/>
      <c r="Q273" s="21">
        <f t="shared" si="43"/>
        <v>0.06</v>
      </c>
      <c r="R273" s="659">
        <f t="shared" si="44"/>
        <v>0</v>
      </c>
      <c r="S273" s="316">
        <f t="shared" si="35"/>
        <v>0</v>
      </c>
    </row>
    <row r="274" spans="1:19">
      <c r="A274" s="150"/>
      <c r="B274" s="54"/>
      <c r="C274" s="21">
        <f t="shared" si="36"/>
        <v>1</v>
      </c>
      <c r="D274" s="662"/>
      <c r="E274" s="21">
        <f t="shared" si="37"/>
        <v>1</v>
      </c>
      <c r="F274" s="662"/>
      <c r="G274" s="21">
        <f t="shared" si="38"/>
        <v>1</v>
      </c>
      <c r="H274" s="662"/>
      <c r="I274" s="21">
        <f t="shared" si="39"/>
        <v>1</v>
      </c>
      <c r="J274" s="662"/>
      <c r="K274" s="21">
        <f t="shared" si="40"/>
        <v>1</v>
      </c>
      <c r="L274" s="662"/>
      <c r="M274" s="21">
        <f t="shared" si="41"/>
        <v>1</v>
      </c>
      <c r="N274" s="662"/>
      <c r="O274" s="21">
        <f t="shared" si="42"/>
        <v>1</v>
      </c>
      <c r="P274" s="662"/>
      <c r="Q274" s="21">
        <f t="shared" si="43"/>
        <v>0.06</v>
      </c>
      <c r="R274" s="659">
        <f t="shared" si="44"/>
        <v>0</v>
      </c>
      <c r="S274" s="316">
        <f t="shared" si="35"/>
        <v>0</v>
      </c>
    </row>
    <row r="275" spans="1:19">
      <c r="A275" s="150"/>
      <c r="B275" s="54"/>
      <c r="C275" s="21">
        <f t="shared" si="36"/>
        <v>1</v>
      </c>
      <c r="D275" s="662"/>
      <c r="E275" s="21">
        <f t="shared" si="37"/>
        <v>1</v>
      </c>
      <c r="F275" s="662"/>
      <c r="G275" s="21">
        <f t="shared" si="38"/>
        <v>1</v>
      </c>
      <c r="H275" s="662"/>
      <c r="I275" s="21">
        <f t="shared" si="39"/>
        <v>1</v>
      </c>
      <c r="J275" s="662"/>
      <c r="K275" s="21">
        <f t="shared" si="40"/>
        <v>1</v>
      </c>
      <c r="L275" s="662"/>
      <c r="M275" s="21">
        <f t="shared" si="41"/>
        <v>1</v>
      </c>
      <c r="N275" s="662"/>
      <c r="O275" s="21">
        <f t="shared" si="42"/>
        <v>1</v>
      </c>
      <c r="P275" s="662"/>
      <c r="Q275" s="21">
        <f t="shared" si="43"/>
        <v>0.06</v>
      </c>
      <c r="R275" s="659">
        <f t="shared" si="44"/>
        <v>0</v>
      </c>
      <c r="S275" s="316">
        <f t="shared" si="35"/>
        <v>0</v>
      </c>
    </row>
    <row r="276" spans="1:19">
      <c r="A276" s="150"/>
      <c r="B276" s="54"/>
      <c r="C276" s="21">
        <f t="shared" si="36"/>
        <v>1</v>
      </c>
      <c r="D276" s="662"/>
      <c r="E276" s="21">
        <f t="shared" si="37"/>
        <v>1</v>
      </c>
      <c r="F276" s="662"/>
      <c r="G276" s="21">
        <f t="shared" si="38"/>
        <v>1</v>
      </c>
      <c r="H276" s="662"/>
      <c r="I276" s="21">
        <f t="shared" si="39"/>
        <v>1</v>
      </c>
      <c r="J276" s="662"/>
      <c r="K276" s="21">
        <f t="shared" si="40"/>
        <v>1</v>
      </c>
      <c r="L276" s="662"/>
      <c r="M276" s="21">
        <f t="shared" si="41"/>
        <v>1</v>
      </c>
      <c r="N276" s="662"/>
      <c r="O276" s="21">
        <f t="shared" si="42"/>
        <v>1</v>
      </c>
      <c r="P276" s="662"/>
      <c r="Q276" s="21">
        <f t="shared" si="43"/>
        <v>0.06</v>
      </c>
      <c r="R276" s="659">
        <f t="shared" si="44"/>
        <v>0</v>
      </c>
      <c r="S276" s="316">
        <f t="shared" si="35"/>
        <v>0</v>
      </c>
    </row>
    <row r="277" spans="1:19">
      <c r="A277" s="150"/>
      <c r="B277" s="54"/>
      <c r="C277" s="21">
        <f t="shared" si="36"/>
        <v>1</v>
      </c>
      <c r="D277" s="662"/>
      <c r="E277" s="21">
        <f t="shared" si="37"/>
        <v>1</v>
      </c>
      <c r="F277" s="662"/>
      <c r="G277" s="21">
        <f t="shared" si="38"/>
        <v>1</v>
      </c>
      <c r="H277" s="662"/>
      <c r="I277" s="21">
        <f t="shared" si="39"/>
        <v>1</v>
      </c>
      <c r="J277" s="662"/>
      <c r="K277" s="21">
        <f t="shared" si="40"/>
        <v>1</v>
      </c>
      <c r="L277" s="662"/>
      <c r="M277" s="21">
        <f t="shared" si="41"/>
        <v>1</v>
      </c>
      <c r="N277" s="662"/>
      <c r="O277" s="21">
        <f t="shared" si="42"/>
        <v>1</v>
      </c>
      <c r="P277" s="662"/>
      <c r="Q277" s="21">
        <f t="shared" si="43"/>
        <v>0.06</v>
      </c>
      <c r="R277" s="659">
        <f t="shared" si="44"/>
        <v>0</v>
      </c>
      <c r="S277" s="316">
        <f t="shared" si="35"/>
        <v>0</v>
      </c>
    </row>
    <row r="278" spans="1:19">
      <c r="A278" s="150"/>
      <c r="B278" s="54"/>
      <c r="C278" s="21">
        <f t="shared" si="36"/>
        <v>1</v>
      </c>
      <c r="D278" s="662"/>
      <c r="E278" s="21">
        <f t="shared" si="37"/>
        <v>1</v>
      </c>
      <c r="F278" s="662"/>
      <c r="G278" s="21">
        <f t="shared" si="38"/>
        <v>1</v>
      </c>
      <c r="H278" s="662"/>
      <c r="I278" s="21">
        <f t="shared" si="39"/>
        <v>1</v>
      </c>
      <c r="J278" s="662"/>
      <c r="K278" s="21">
        <f t="shared" si="40"/>
        <v>1</v>
      </c>
      <c r="L278" s="662"/>
      <c r="M278" s="21">
        <f t="shared" si="41"/>
        <v>1</v>
      </c>
      <c r="N278" s="662"/>
      <c r="O278" s="21">
        <f t="shared" si="42"/>
        <v>1</v>
      </c>
      <c r="P278" s="662"/>
      <c r="Q278" s="21">
        <f t="shared" si="43"/>
        <v>0.06</v>
      </c>
      <c r="R278" s="659">
        <f t="shared" si="44"/>
        <v>0</v>
      </c>
      <c r="S278" s="316">
        <f t="shared" si="35"/>
        <v>0</v>
      </c>
    </row>
    <row r="279" spans="1:19">
      <c r="A279" s="150"/>
      <c r="B279" s="54"/>
      <c r="C279" s="21">
        <f t="shared" si="36"/>
        <v>1</v>
      </c>
      <c r="D279" s="662"/>
      <c r="E279" s="21">
        <f t="shared" si="37"/>
        <v>1</v>
      </c>
      <c r="F279" s="662"/>
      <c r="G279" s="21">
        <f t="shared" si="38"/>
        <v>1</v>
      </c>
      <c r="H279" s="662"/>
      <c r="I279" s="21">
        <f t="shared" si="39"/>
        <v>1</v>
      </c>
      <c r="J279" s="662"/>
      <c r="K279" s="21">
        <f t="shared" si="40"/>
        <v>1</v>
      </c>
      <c r="L279" s="662"/>
      <c r="M279" s="21">
        <f t="shared" si="41"/>
        <v>1</v>
      </c>
      <c r="N279" s="662"/>
      <c r="O279" s="21">
        <f t="shared" si="42"/>
        <v>1</v>
      </c>
      <c r="P279" s="662"/>
      <c r="Q279" s="21">
        <f t="shared" si="43"/>
        <v>0.06</v>
      </c>
      <c r="R279" s="659">
        <f t="shared" si="44"/>
        <v>0</v>
      </c>
      <c r="S279" s="316">
        <f t="shared" si="35"/>
        <v>0</v>
      </c>
    </row>
    <row r="280" spans="1:19">
      <c r="A280" s="150"/>
      <c r="B280" s="54"/>
      <c r="C280" s="21">
        <f t="shared" si="36"/>
        <v>1</v>
      </c>
      <c r="D280" s="662"/>
      <c r="E280" s="21">
        <f t="shared" si="37"/>
        <v>1</v>
      </c>
      <c r="F280" s="662"/>
      <c r="G280" s="21">
        <f t="shared" si="38"/>
        <v>1</v>
      </c>
      <c r="H280" s="662"/>
      <c r="I280" s="21">
        <f t="shared" si="39"/>
        <v>1</v>
      </c>
      <c r="J280" s="662"/>
      <c r="K280" s="21">
        <f t="shared" si="40"/>
        <v>1</v>
      </c>
      <c r="L280" s="662"/>
      <c r="M280" s="21">
        <f t="shared" si="41"/>
        <v>1</v>
      </c>
      <c r="N280" s="662"/>
      <c r="O280" s="21">
        <f t="shared" si="42"/>
        <v>1</v>
      </c>
      <c r="P280" s="662"/>
      <c r="Q280" s="21">
        <f t="shared" si="43"/>
        <v>0.06</v>
      </c>
      <c r="R280" s="659">
        <f t="shared" si="44"/>
        <v>0</v>
      </c>
      <c r="S280" s="316">
        <f t="shared" ref="S280:S343" si="45">ROUND(R280*B280/10000,0)</f>
        <v>0</v>
      </c>
    </row>
    <row r="281" spans="1:19">
      <c r="A281" s="150"/>
      <c r="B281" s="54"/>
      <c r="C281" s="21">
        <f t="shared" si="36"/>
        <v>1</v>
      </c>
      <c r="D281" s="662"/>
      <c r="E281" s="21">
        <f t="shared" si="37"/>
        <v>1</v>
      </c>
      <c r="F281" s="662"/>
      <c r="G281" s="21">
        <f t="shared" si="38"/>
        <v>1</v>
      </c>
      <c r="H281" s="662"/>
      <c r="I281" s="21">
        <f t="shared" si="39"/>
        <v>1</v>
      </c>
      <c r="J281" s="662"/>
      <c r="K281" s="21">
        <f t="shared" si="40"/>
        <v>1</v>
      </c>
      <c r="L281" s="662"/>
      <c r="M281" s="21">
        <f t="shared" si="41"/>
        <v>1</v>
      </c>
      <c r="N281" s="662"/>
      <c r="O281" s="21">
        <f t="shared" si="42"/>
        <v>1</v>
      </c>
      <c r="P281" s="662"/>
      <c r="Q281" s="21">
        <f t="shared" si="43"/>
        <v>0.06</v>
      </c>
      <c r="R281" s="659">
        <f t="shared" si="44"/>
        <v>0</v>
      </c>
      <c r="S281" s="316">
        <f t="shared" si="45"/>
        <v>0</v>
      </c>
    </row>
    <row r="282" spans="1:19">
      <c r="A282" s="150"/>
      <c r="B282" s="54"/>
      <c r="C282" s="21">
        <f t="shared" ref="C282:C345" si="46">IF(B282="",1,(LOOKUP(B282,$3:$3,$4:$4)-LOOKUP($B$24,$3:$3,$4:$4)+100)/100)</f>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c r="Q282" s="21">
        <f t="shared" ref="Q282:Q345" si="53">(SUMIF($17:$17,P282,$18:$18)-SUMIF($17:$17,$P$24,$18:$18)+100)/100</f>
        <v>0.06</v>
      </c>
      <c r="R282" s="659">
        <f t="shared" ref="R282:R345" si="54">IF(B282="",0,ROUND($R$24*C282*E282*G282*I282*K282*M282*O282*Q282,0))</f>
        <v>0</v>
      </c>
      <c r="S282" s="316">
        <f t="shared" si="45"/>
        <v>0</v>
      </c>
    </row>
    <row r="283" spans="1:19">
      <c r="A283" s="150"/>
      <c r="B283" s="54"/>
      <c r="C283" s="21">
        <f t="shared" si="46"/>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c r="Q283" s="21">
        <f t="shared" si="53"/>
        <v>0.06</v>
      </c>
      <c r="R283" s="659">
        <f t="shared" si="54"/>
        <v>0</v>
      </c>
      <c r="S283" s="316">
        <f t="shared" si="45"/>
        <v>0</v>
      </c>
    </row>
    <row r="284" spans="1:19">
      <c r="A284" s="150"/>
      <c r="B284" s="54"/>
      <c r="C284" s="21">
        <f t="shared" si="46"/>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c r="Q284" s="21">
        <f t="shared" si="53"/>
        <v>0.06</v>
      </c>
      <c r="R284" s="659">
        <f t="shared" si="54"/>
        <v>0</v>
      </c>
      <c r="S284" s="316">
        <f t="shared" si="45"/>
        <v>0</v>
      </c>
    </row>
    <row r="285" spans="1:19">
      <c r="A285" s="150"/>
      <c r="B285" s="54"/>
      <c r="C285" s="21">
        <f t="shared" si="46"/>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c r="Q285" s="21">
        <f t="shared" si="53"/>
        <v>0.06</v>
      </c>
      <c r="R285" s="659">
        <f t="shared" si="54"/>
        <v>0</v>
      </c>
      <c r="S285" s="316">
        <f t="shared" si="45"/>
        <v>0</v>
      </c>
    </row>
    <row r="286" spans="1:19">
      <c r="A286" s="150"/>
      <c r="B286" s="54"/>
      <c r="C286" s="21">
        <f t="shared" si="46"/>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c r="Q286" s="21">
        <f t="shared" si="53"/>
        <v>0.06</v>
      </c>
      <c r="R286" s="659">
        <f t="shared" si="54"/>
        <v>0</v>
      </c>
      <c r="S286" s="316">
        <f t="shared" si="45"/>
        <v>0</v>
      </c>
    </row>
    <row r="287" spans="1:19">
      <c r="A287" s="150"/>
      <c r="B287" s="54"/>
      <c r="C287" s="21">
        <f t="shared" si="46"/>
        <v>1</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c r="Q287" s="21">
        <f t="shared" si="53"/>
        <v>0.06</v>
      </c>
      <c r="R287" s="659">
        <f t="shared" si="54"/>
        <v>0</v>
      </c>
      <c r="S287" s="316">
        <f t="shared" si="45"/>
        <v>0</v>
      </c>
    </row>
    <row r="288" spans="1:19">
      <c r="A288" s="150"/>
      <c r="B288" s="54"/>
      <c r="C288" s="21">
        <f t="shared" si="46"/>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c r="Q288" s="21">
        <f t="shared" si="53"/>
        <v>0.06</v>
      </c>
      <c r="R288" s="659">
        <f t="shared" si="54"/>
        <v>0</v>
      </c>
      <c r="S288" s="316">
        <f t="shared" si="45"/>
        <v>0</v>
      </c>
    </row>
    <row r="289" spans="1:19">
      <c r="A289" s="150"/>
      <c r="B289" s="54"/>
      <c r="C289" s="21">
        <f t="shared" si="46"/>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c r="Q289" s="21">
        <f t="shared" si="53"/>
        <v>0.06</v>
      </c>
      <c r="R289" s="659">
        <f t="shared" si="54"/>
        <v>0</v>
      </c>
      <c r="S289" s="316">
        <f t="shared" si="45"/>
        <v>0</v>
      </c>
    </row>
    <row r="290" spans="1:19">
      <c r="A290" s="150"/>
      <c r="B290" s="54"/>
      <c r="C290" s="21">
        <f t="shared" si="46"/>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c r="Q290" s="21">
        <f t="shared" si="53"/>
        <v>0.06</v>
      </c>
      <c r="R290" s="659">
        <f t="shared" si="54"/>
        <v>0</v>
      </c>
      <c r="S290" s="316">
        <f t="shared" si="45"/>
        <v>0</v>
      </c>
    </row>
    <row r="291" spans="1:19">
      <c r="A291" s="150"/>
      <c r="B291" s="54"/>
      <c r="C291" s="21">
        <f t="shared" si="46"/>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c r="Q291" s="21">
        <f t="shared" si="53"/>
        <v>0.06</v>
      </c>
      <c r="R291" s="659">
        <f t="shared" si="54"/>
        <v>0</v>
      </c>
      <c r="S291" s="316">
        <f t="shared" si="45"/>
        <v>0</v>
      </c>
    </row>
    <row r="292" spans="1:19">
      <c r="A292" s="150"/>
      <c r="B292" s="54"/>
      <c r="C292" s="21">
        <f t="shared" si="46"/>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c r="Q292" s="21">
        <f t="shared" si="53"/>
        <v>0.06</v>
      </c>
      <c r="R292" s="659">
        <f t="shared" si="54"/>
        <v>0</v>
      </c>
      <c r="S292" s="316">
        <f t="shared" si="45"/>
        <v>0</v>
      </c>
    </row>
    <row r="293" spans="1:19">
      <c r="A293" s="150"/>
      <c r="B293" s="54"/>
      <c r="C293" s="21">
        <f t="shared" si="46"/>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c r="Q293" s="21">
        <f t="shared" si="53"/>
        <v>0.06</v>
      </c>
      <c r="R293" s="659">
        <f t="shared" si="54"/>
        <v>0</v>
      </c>
      <c r="S293" s="316">
        <f t="shared" si="45"/>
        <v>0</v>
      </c>
    </row>
    <row r="294" spans="1:19">
      <c r="A294" s="150"/>
      <c r="B294" s="54"/>
      <c r="C294" s="21">
        <f t="shared" si="46"/>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c r="Q294" s="21">
        <f t="shared" si="53"/>
        <v>0.06</v>
      </c>
      <c r="R294" s="659">
        <f t="shared" si="54"/>
        <v>0</v>
      </c>
      <c r="S294" s="316">
        <f t="shared" si="45"/>
        <v>0</v>
      </c>
    </row>
    <row r="295" spans="1:19">
      <c r="A295" s="150"/>
      <c r="B295" s="54"/>
      <c r="C295" s="21">
        <f t="shared" si="46"/>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c r="Q295" s="21">
        <f t="shared" si="53"/>
        <v>0.06</v>
      </c>
      <c r="R295" s="659">
        <f t="shared" si="54"/>
        <v>0</v>
      </c>
      <c r="S295" s="316">
        <f t="shared" si="45"/>
        <v>0</v>
      </c>
    </row>
    <row r="296" spans="1:19">
      <c r="A296" s="150"/>
      <c r="B296" s="54"/>
      <c r="C296" s="21">
        <f t="shared" si="46"/>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c r="Q296" s="21">
        <f t="shared" si="53"/>
        <v>0.06</v>
      </c>
      <c r="R296" s="659">
        <f t="shared" si="54"/>
        <v>0</v>
      </c>
      <c r="S296" s="316">
        <f t="shared" si="45"/>
        <v>0</v>
      </c>
    </row>
    <row r="297" spans="1:19">
      <c r="A297" s="150"/>
      <c r="B297" s="54"/>
      <c r="C297" s="21">
        <f t="shared" si="46"/>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c r="Q297" s="21">
        <f t="shared" si="53"/>
        <v>0.06</v>
      </c>
      <c r="R297" s="659">
        <f t="shared" si="54"/>
        <v>0</v>
      </c>
      <c r="S297" s="316">
        <f t="shared" si="45"/>
        <v>0</v>
      </c>
    </row>
    <row r="298" spans="1:19">
      <c r="A298" s="150"/>
      <c r="B298" s="54"/>
      <c r="C298" s="21">
        <f t="shared" si="46"/>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c r="Q298" s="21">
        <f t="shared" si="53"/>
        <v>0.06</v>
      </c>
      <c r="R298" s="659">
        <f t="shared" si="54"/>
        <v>0</v>
      </c>
      <c r="S298" s="316">
        <f t="shared" si="45"/>
        <v>0</v>
      </c>
    </row>
    <row r="299" spans="1:19">
      <c r="A299" s="150"/>
      <c r="B299" s="54"/>
      <c r="C299" s="21">
        <f t="shared" si="46"/>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c r="Q299" s="21">
        <f t="shared" si="53"/>
        <v>0.06</v>
      </c>
      <c r="R299" s="659">
        <f t="shared" si="54"/>
        <v>0</v>
      </c>
      <c r="S299" s="316">
        <f t="shared" si="45"/>
        <v>0</v>
      </c>
    </row>
    <row r="300" spans="1:19">
      <c r="A300" s="150"/>
      <c r="B300" s="54"/>
      <c r="C300" s="21">
        <f t="shared" si="46"/>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c r="Q300" s="21">
        <f t="shared" si="53"/>
        <v>0.06</v>
      </c>
      <c r="R300" s="659">
        <f t="shared" si="54"/>
        <v>0</v>
      </c>
      <c r="S300" s="316">
        <f t="shared" si="45"/>
        <v>0</v>
      </c>
    </row>
    <row r="301" spans="1:19">
      <c r="A301" s="150"/>
      <c r="B301" s="54"/>
      <c r="C301" s="21">
        <f t="shared" si="46"/>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c r="Q301" s="21">
        <f t="shared" si="53"/>
        <v>0.06</v>
      </c>
      <c r="R301" s="659">
        <f t="shared" si="54"/>
        <v>0</v>
      </c>
      <c r="S301" s="316">
        <f t="shared" si="45"/>
        <v>0</v>
      </c>
    </row>
    <row r="302" spans="1:19">
      <c r="A302" s="150"/>
      <c r="B302" s="54"/>
      <c r="C302" s="21">
        <f t="shared" si="46"/>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c r="Q302" s="21">
        <f t="shared" si="53"/>
        <v>0.06</v>
      </c>
      <c r="R302" s="659">
        <f t="shared" si="54"/>
        <v>0</v>
      </c>
      <c r="S302" s="316">
        <f t="shared" si="45"/>
        <v>0</v>
      </c>
    </row>
    <row r="303" spans="1:19">
      <c r="A303" s="150"/>
      <c r="B303" s="54"/>
      <c r="C303" s="21">
        <f t="shared" si="46"/>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c r="Q303" s="21">
        <f t="shared" si="53"/>
        <v>0.06</v>
      </c>
      <c r="R303" s="659">
        <f t="shared" si="54"/>
        <v>0</v>
      </c>
      <c r="S303" s="316">
        <f t="shared" si="45"/>
        <v>0</v>
      </c>
    </row>
    <row r="304" spans="1:19">
      <c r="A304" s="150"/>
      <c r="B304" s="54"/>
      <c r="C304" s="21">
        <f t="shared" si="46"/>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c r="Q304" s="21">
        <f t="shared" si="53"/>
        <v>0.06</v>
      </c>
      <c r="R304" s="659">
        <f t="shared" si="54"/>
        <v>0</v>
      </c>
      <c r="S304" s="316">
        <f t="shared" si="45"/>
        <v>0</v>
      </c>
    </row>
    <row r="305" spans="1:19">
      <c r="A305" s="150"/>
      <c r="B305" s="54"/>
      <c r="C305" s="21">
        <f t="shared" si="46"/>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c r="Q305" s="21">
        <f t="shared" si="53"/>
        <v>0.06</v>
      </c>
      <c r="R305" s="659">
        <f t="shared" si="54"/>
        <v>0</v>
      </c>
      <c r="S305" s="316">
        <f t="shared" si="45"/>
        <v>0</v>
      </c>
    </row>
    <row r="306" spans="1:19">
      <c r="A306" s="150"/>
      <c r="B306" s="54"/>
      <c r="C306" s="21">
        <f t="shared" si="46"/>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c r="Q306" s="21">
        <f t="shared" si="53"/>
        <v>0.06</v>
      </c>
      <c r="R306" s="659">
        <f t="shared" si="54"/>
        <v>0</v>
      </c>
      <c r="S306" s="316">
        <f t="shared" si="45"/>
        <v>0</v>
      </c>
    </row>
    <row r="307" spans="1:19">
      <c r="A307" s="150"/>
      <c r="B307" s="54"/>
      <c r="C307" s="21">
        <f t="shared" si="46"/>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c r="Q307" s="21">
        <f t="shared" si="53"/>
        <v>0.06</v>
      </c>
      <c r="R307" s="659">
        <f t="shared" si="54"/>
        <v>0</v>
      </c>
      <c r="S307" s="316">
        <f t="shared" si="45"/>
        <v>0</v>
      </c>
    </row>
    <row r="308" spans="1:19">
      <c r="A308" s="150"/>
      <c r="B308" s="54"/>
      <c r="C308" s="21">
        <f t="shared" si="46"/>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c r="Q308" s="21">
        <f t="shared" si="53"/>
        <v>0.06</v>
      </c>
      <c r="R308" s="659">
        <f t="shared" si="54"/>
        <v>0</v>
      </c>
      <c r="S308" s="316">
        <f t="shared" si="45"/>
        <v>0</v>
      </c>
    </row>
    <row r="309" spans="1:19">
      <c r="A309" s="150"/>
      <c r="B309" s="54"/>
      <c r="C309" s="21">
        <f t="shared" si="46"/>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c r="Q309" s="21">
        <f t="shared" si="53"/>
        <v>0.06</v>
      </c>
      <c r="R309" s="659">
        <f t="shared" si="54"/>
        <v>0</v>
      </c>
      <c r="S309" s="316">
        <f t="shared" si="45"/>
        <v>0</v>
      </c>
    </row>
    <row r="310" spans="1:19">
      <c r="A310" s="150"/>
      <c r="B310" s="54"/>
      <c r="C310" s="21">
        <f t="shared" si="46"/>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c r="Q310" s="21">
        <f t="shared" si="53"/>
        <v>0.06</v>
      </c>
      <c r="R310" s="659">
        <f t="shared" si="54"/>
        <v>0</v>
      </c>
      <c r="S310" s="316">
        <f t="shared" si="45"/>
        <v>0</v>
      </c>
    </row>
    <row r="311" spans="1:19">
      <c r="A311" s="150"/>
      <c r="B311" s="54"/>
      <c r="C311" s="21">
        <f t="shared" si="46"/>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c r="Q311" s="21">
        <f t="shared" si="53"/>
        <v>0.06</v>
      </c>
      <c r="R311" s="659">
        <f t="shared" si="54"/>
        <v>0</v>
      </c>
      <c r="S311" s="316">
        <f t="shared" si="45"/>
        <v>0</v>
      </c>
    </row>
    <row r="312" spans="1:19">
      <c r="A312" s="150"/>
      <c r="B312" s="54"/>
      <c r="C312" s="21">
        <f t="shared" si="46"/>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c r="Q312" s="21">
        <f t="shared" si="53"/>
        <v>0.06</v>
      </c>
      <c r="R312" s="659">
        <f t="shared" si="54"/>
        <v>0</v>
      </c>
      <c r="S312" s="316">
        <f t="shared" si="45"/>
        <v>0</v>
      </c>
    </row>
    <row r="313" spans="1:19">
      <c r="A313" s="150"/>
      <c r="B313" s="54"/>
      <c r="C313" s="21">
        <f t="shared" si="46"/>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c r="Q313" s="21">
        <f t="shared" si="53"/>
        <v>0.06</v>
      </c>
      <c r="R313" s="659">
        <f t="shared" si="54"/>
        <v>0</v>
      </c>
      <c r="S313" s="316">
        <f t="shared" si="45"/>
        <v>0</v>
      </c>
    </row>
    <row r="314" spans="1:19">
      <c r="A314" s="150"/>
      <c r="B314" s="54"/>
      <c r="C314" s="21">
        <f t="shared" si="46"/>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c r="Q314" s="21">
        <f t="shared" si="53"/>
        <v>0.06</v>
      </c>
      <c r="R314" s="659">
        <f t="shared" si="54"/>
        <v>0</v>
      </c>
      <c r="S314" s="316">
        <f t="shared" si="45"/>
        <v>0</v>
      </c>
    </row>
    <row r="315" spans="1:19">
      <c r="A315" s="150"/>
      <c r="B315" s="54"/>
      <c r="C315" s="21">
        <f t="shared" si="46"/>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c r="Q315" s="21">
        <f t="shared" si="53"/>
        <v>0.06</v>
      </c>
      <c r="R315" s="659">
        <f t="shared" si="54"/>
        <v>0</v>
      </c>
      <c r="S315" s="316">
        <f t="shared" si="45"/>
        <v>0</v>
      </c>
    </row>
    <row r="316" spans="1:19">
      <c r="A316" s="150"/>
      <c r="B316" s="54"/>
      <c r="C316" s="21">
        <f t="shared" si="46"/>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c r="Q316" s="21">
        <f t="shared" si="53"/>
        <v>0.06</v>
      </c>
      <c r="R316" s="659">
        <f t="shared" si="54"/>
        <v>0</v>
      </c>
      <c r="S316" s="316">
        <f t="shared" si="45"/>
        <v>0</v>
      </c>
    </row>
    <row r="317" spans="1:19">
      <c r="A317" s="150"/>
      <c r="B317" s="54"/>
      <c r="C317" s="21">
        <f t="shared" si="46"/>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c r="Q317" s="21">
        <f t="shared" si="53"/>
        <v>0.06</v>
      </c>
      <c r="R317" s="659">
        <f t="shared" si="54"/>
        <v>0</v>
      </c>
      <c r="S317" s="316">
        <f t="shared" si="45"/>
        <v>0</v>
      </c>
    </row>
    <row r="318" spans="1:19">
      <c r="A318" s="150"/>
      <c r="B318" s="54"/>
      <c r="C318" s="21">
        <f t="shared" si="46"/>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c r="Q318" s="21">
        <f t="shared" si="53"/>
        <v>0.06</v>
      </c>
      <c r="R318" s="659">
        <f t="shared" si="54"/>
        <v>0</v>
      </c>
      <c r="S318" s="316">
        <f t="shared" si="45"/>
        <v>0</v>
      </c>
    </row>
    <row r="319" spans="1:19">
      <c r="A319" s="150"/>
      <c r="B319" s="54"/>
      <c r="C319" s="21">
        <f t="shared" si="46"/>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c r="Q319" s="21">
        <f t="shared" si="53"/>
        <v>0.06</v>
      </c>
      <c r="R319" s="659">
        <f t="shared" si="54"/>
        <v>0</v>
      </c>
      <c r="S319" s="316">
        <f t="shared" si="45"/>
        <v>0</v>
      </c>
    </row>
    <row r="320" spans="1:19">
      <c r="A320" s="150"/>
      <c r="B320" s="54"/>
      <c r="C320" s="21">
        <f t="shared" si="46"/>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c r="Q320" s="21">
        <f t="shared" si="53"/>
        <v>0.06</v>
      </c>
      <c r="R320" s="659">
        <f t="shared" si="54"/>
        <v>0</v>
      </c>
      <c r="S320" s="316">
        <f t="shared" si="45"/>
        <v>0</v>
      </c>
    </row>
    <row r="321" spans="1:19">
      <c r="A321" s="150"/>
      <c r="B321" s="54"/>
      <c r="C321" s="21">
        <f t="shared" si="46"/>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c r="Q321" s="21">
        <f t="shared" si="53"/>
        <v>0.06</v>
      </c>
      <c r="R321" s="659">
        <f t="shared" si="54"/>
        <v>0</v>
      </c>
      <c r="S321" s="316">
        <f t="shared" si="45"/>
        <v>0</v>
      </c>
    </row>
    <row r="322" spans="1:19">
      <c r="A322" s="150"/>
      <c r="B322" s="54"/>
      <c r="C322" s="21">
        <f t="shared" si="46"/>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c r="Q322" s="21">
        <f t="shared" si="53"/>
        <v>0.06</v>
      </c>
      <c r="R322" s="659">
        <f t="shared" si="54"/>
        <v>0</v>
      </c>
      <c r="S322" s="316">
        <f t="shared" si="45"/>
        <v>0</v>
      </c>
    </row>
    <row r="323" spans="1:19">
      <c r="A323" s="150"/>
      <c r="B323" s="54"/>
      <c r="C323" s="21">
        <f t="shared" si="46"/>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c r="Q323" s="21">
        <f t="shared" si="53"/>
        <v>0.06</v>
      </c>
      <c r="R323" s="659">
        <f t="shared" si="54"/>
        <v>0</v>
      </c>
      <c r="S323" s="316">
        <f t="shared" si="45"/>
        <v>0</v>
      </c>
    </row>
    <row r="324" spans="1:19">
      <c r="A324" s="150"/>
      <c r="B324" s="54"/>
      <c r="C324" s="21">
        <f t="shared" si="46"/>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c r="Q324" s="21">
        <f t="shared" si="53"/>
        <v>0.06</v>
      </c>
      <c r="R324" s="659">
        <f t="shared" si="54"/>
        <v>0</v>
      </c>
      <c r="S324" s="316">
        <f t="shared" si="45"/>
        <v>0</v>
      </c>
    </row>
    <row r="325" spans="1:19">
      <c r="A325" s="150"/>
      <c r="B325" s="54"/>
      <c r="C325" s="21">
        <f t="shared" si="46"/>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c r="Q325" s="21">
        <f t="shared" si="53"/>
        <v>0.06</v>
      </c>
      <c r="R325" s="659">
        <f t="shared" si="54"/>
        <v>0</v>
      </c>
      <c r="S325" s="316">
        <f t="shared" si="45"/>
        <v>0</v>
      </c>
    </row>
    <row r="326" spans="1:19">
      <c r="A326" s="150"/>
      <c r="B326" s="54"/>
      <c r="C326" s="21">
        <f t="shared" si="46"/>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c r="Q326" s="21">
        <f t="shared" si="53"/>
        <v>0.06</v>
      </c>
      <c r="R326" s="659">
        <f t="shared" si="54"/>
        <v>0</v>
      </c>
      <c r="S326" s="316">
        <f t="shared" si="45"/>
        <v>0</v>
      </c>
    </row>
    <row r="327" spans="1:19">
      <c r="A327" s="150"/>
      <c r="B327" s="54"/>
      <c r="C327" s="21">
        <f t="shared" si="46"/>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c r="Q327" s="21">
        <f t="shared" si="53"/>
        <v>0.06</v>
      </c>
      <c r="R327" s="659">
        <f t="shared" si="54"/>
        <v>0</v>
      </c>
      <c r="S327" s="316">
        <f t="shared" si="45"/>
        <v>0</v>
      </c>
    </row>
    <row r="328" spans="1:19">
      <c r="A328" s="150"/>
      <c r="B328" s="54"/>
      <c r="C328" s="21">
        <f t="shared" si="46"/>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c r="Q328" s="21">
        <f t="shared" si="53"/>
        <v>0.06</v>
      </c>
      <c r="R328" s="659">
        <f t="shared" si="54"/>
        <v>0</v>
      </c>
      <c r="S328" s="316">
        <f t="shared" si="45"/>
        <v>0</v>
      </c>
    </row>
    <row r="329" spans="1:19">
      <c r="A329" s="150"/>
      <c r="B329" s="54"/>
      <c r="C329" s="21">
        <f t="shared" si="46"/>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c r="Q329" s="21">
        <f t="shared" si="53"/>
        <v>0.06</v>
      </c>
      <c r="R329" s="659">
        <f t="shared" si="54"/>
        <v>0</v>
      </c>
      <c r="S329" s="316">
        <f t="shared" si="45"/>
        <v>0</v>
      </c>
    </row>
    <row r="330" spans="1:19">
      <c r="A330" s="150"/>
      <c r="B330" s="54"/>
      <c r="C330" s="21">
        <f t="shared" si="46"/>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c r="Q330" s="21">
        <f t="shared" si="53"/>
        <v>0.06</v>
      </c>
      <c r="R330" s="659">
        <f t="shared" si="54"/>
        <v>0</v>
      </c>
      <c r="S330" s="316">
        <f t="shared" si="45"/>
        <v>0</v>
      </c>
    </row>
    <row r="331" spans="1:19">
      <c r="A331" s="150"/>
      <c r="B331" s="54"/>
      <c r="C331" s="21">
        <f t="shared" si="46"/>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c r="Q331" s="21">
        <f t="shared" si="53"/>
        <v>0.06</v>
      </c>
      <c r="R331" s="659">
        <f t="shared" si="54"/>
        <v>0</v>
      </c>
      <c r="S331" s="316">
        <f t="shared" si="45"/>
        <v>0</v>
      </c>
    </row>
    <row r="332" spans="1:19">
      <c r="A332" s="150"/>
      <c r="B332" s="54"/>
      <c r="C332" s="21">
        <f t="shared" si="46"/>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c r="Q332" s="21">
        <f t="shared" si="53"/>
        <v>0.06</v>
      </c>
      <c r="R332" s="659">
        <f t="shared" si="54"/>
        <v>0</v>
      </c>
      <c r="S332" s="316">
        <f t="shared" si="45"/>
        <v>0</v>
      </c>
    </row>
    <row r="333" spans="1:19">
      <c r="A333" s="150"/>
      <c r="B333" s="54"/>
      <c r="C333" s="21">
        <f t="shared" si="46"/>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c r="Q333" s="21">
        <f t="shared" si="53"/>
        <v>0.06</v>
      </c>
      <c r="R333" s="659">
        <f t="shared" si="54"/>
        <v>0</v>
      </c>
      <c r="S333" s="316">
        <f t="shared" si="45"/>
        <v>0</v>
      </c>
    </row>
    <row r="334" spans="1:19">
      <c r="A334" s="150"/>
      <c r="B334" s="54"/>
      <c r="C334" s="21">
        <f t="shared" si="46"/>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c r="Q334" s="21">
        <f t="shared" si="53"/>
        <v>0.06</v>
      </c>
      <c r="R334" s="659">
        <f t="shared" si="54"/>
        <v>0</v>
      </c>
      <c r="S334" s="316">
        <f t="shared" si="45"/>
        <v>0</v>
      </c>
    </row>
    <row r="335" spans="1:19">
      <c r="A335" s="150"/>
      <c r="B335" s="54"/>
      <c r="C335" s="21">
        <f t="shared" si="46"/>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c r="Q335" s="21">
        <f t="shared" si="53"/>
        <v>0.06</v>
      </c>
      <c r="R335" s="659">
        <f t="shared" si="54"/>
        <v>0</v>
      </c>
      <c r="S335" s="316">
        <f t="shared" si="45"/>
        <v>0</v>
      </c>
    </row>
    <row r="336" spans="1:19">
      <c r="A336" s="150"/>
      <c r="B336" s="54"/>
      <c r="C336" s="21">
        <f t="shared" si="46"/>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c r="Q336" s="21">
        <f t="shared" si="53"/>
        <v>0.06</v>
      </c>
      <c r="R336" s="659">
        <f t="shared" si="54"/>
        <v>0</v>
      </c>
      <c r="S336" s="316">
        <f t="shared" si="45"/>
        <v>0</v>
      </c>
    </row>
    <row r="337" spans="1:19">
      <c r="A337" s="150"/>
      <c r="B337" s="54"/>
      <c r="C337" s="21">
        <f t="shared" si="46"/>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c r="Q337" s="21">
        <f t="shared" si="53"/>
        <v>0.06</v>
      </c>
      <c r="R337" s="659">
        <f t="shared" si="54"/>
        <v>0</v>
      </c>
      <c r="S337" s="316">
        <f t="shared" si="45"/>
        <v>0</v>
      </c>
    </row>
    <row r="338" spans="1:19">
      <c r="A338" s="150"/>
      <c r="B338" s="54"/>
      <c r="C338" s="21">
        <f t="shared" si="46"/>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c r="Q338" s="21">
        <f t="shared" si="53"/>
        <v>0.06</v>
      </c>
      <c r="R338" s="659">
        <f t="shared" si="54"/>
        <v>0</v>
      </c>
      <c r="S338" s="316">
        <f t="shared" si="45"/>
        <v>0</v>
      </c>
    </row>
    <row r="339" spans="1:19">
      <c r="A339" s="150"/>
      <c r="B339" s="54"/>
      <c r="C339" s="21">
        <f t="shared" si="46"/>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c r="Q339" s="21">
        <f t="shared" si="53"/>
        <v>0.06</v>
      </c>
      <c r="R339" s="659">
        <f t="shared" si="54"/>
        <v>0</v>
      </c>
      <c r="S339" s="316">
        <f t="shared" si="45"/>
        <v>0</v>
      </c>
    </row>
    <row r="340" spans="1:19">
      <c r="A340" s="150"/>
      <c r="B340" s="54"/>
      <c r="C340" s="21">
        <f t="shared" si="46"/>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c r="Q340" s="21">
        <f t="shared" si="53"/>
        <v>0.06</v>
      </c>
      <c r="R340" s="659">
        <f t="shared" si="54"/>
        <v>0</v>
      </c>
      <c r="S340" s="316">
        <f t="shared" si="45"/>
        <v>0</v>
      </c>
    </row>
    <row r="341" spans="1:19">
      <c r="A341" s="150"/>
      <c r="B341" s="54"/>
      <c r="C341" s="21">
        <f t="shared" si="46"/>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c r="Q341" s="21">
        <f t="shared" si="53"/>
        <v>0.06</v>
      </c>
      <c r="R341" s="659">
        <f t="shared" si="54"/>
        <v>0</v>
      </c>
      <c r="S341" s="316">
        <f t="shared" si="45"/>
        <v>0</v>
      </c>
    </row>
    <row r="342" spans="1:19">
      <c r="A342" s="150"/>
      <c r="B342" s="54"/>
      <c r="C342" s="21">
        <f t="shared" si="46"/>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c r="Q342" s="21">
        <f t="shared" si="53"/>
        <v>0.06</v>
      </c>
      <c r="R342" s="659">
        <f t="shared" si="54"/>
        <v>0</v>
      </c>
      <c r="S342" s="316">
        <f t="shared" si="45"/>
        <v>0</v>
      </c>
    </row>
    <row r="343" spans="1:19">
      <c r="A343" s="150"/>
      <c r="B343" s="54"/>
      <c r="C343" s="21">
        <f t="shared" si="46"/>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c r="Q343" s="21">
        <f t="shared" si="53"/>
        <v>0.06</v>
      </c>
      <c r="R343" s="659">
        <f t="shared" si="54"/>
        <v>0</v>
      </c>
      <c r="S343" s="316">
        <f t="shared" si="45"/>
        <v>0</v>
      </c>
    </row>
    <row r="344" spans="1:19">
      <c r="A344" s="150"/>
      <c r="B344" s="54"/>
      <c r="C344" s="21">
        <f t="shared" si="46"/>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c r="Q344" s="21">
        <f t="shared" si="53"/>
        <v>0.06</v>
      </c>
      <c r="R344" s="659">
        <f t="shared" si="54"/>
        <v>0</v>
      </c>
      <c r="S344" s="316">
        <f t="shared" ref="S344:S407" si="55">ROUND(R344*B344/10000,0)</f>
        <v>0</v>
      </c>
    </row>
    <row r="345" spans="1:19">
      <c r="A345" s="150"/>
      <c r="B345" s="54"/>
      <c r="C345" s="21">
        <f t="shared" si="46"/>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c r="Q345" s="21">
        <f t="shared" si="53"/>
        <v>0.06</v>
      </c>
      <c r="R345" s="659">
        <f t="shared" si="54"/>
        <v>0</v>
      </c>
      <c r="S345" s="316">
        <f t="shared" si="55"/>
        <v>0</v>
      </c>
    </row>
    <row r="346" spans="1:19">
      <c r="A346" s="150"/>
      <c r="B346" s="54"/>
      <c r="C346" s="21">
        <f t="shared" ref="C346:C409" si="56">IF(B346="",1,(LOOKUP(B346,$3:$3,$4:$4)-LOOKUP($B$24,$3:$3,$4:$4)+100)/100)</f>
        <v>1</v>
      </c>
      <c r="D346" s="662"/>
      <c r="E346" s="21">
        <f t="shared" ref="E346:E409" si="57">(SUMIF($5:$5,D346,$6:$6)-SUMIF($5:$5,$D$24,$6:$6)+100)/100</f>
        <v>1</v>
      </c>
      <c r="F346" s="662"/>
      <c r="G346" s="21">
        <f t="shared" ref="G346:G409" si="58">(SUMIF($7:$7,F346,$8:$8)-SUMIF($7:$7,$F$24,$8:$8)+100)/100</f>
        <v>1</v>
      </c>
      <c r="H346" s="662"/>
      <c r="I346" s="21">
        <f t="shared" ref="I346:I409" si="59">(SUMIF($9:$9,H346,$10:$10)-SUMIF($9:$9,$H$24,$10:$10)+100)/100</f>
        <v>1</v>
      </c>
      <c r="J346" s="662"/>
      <c r="K346" s="21">
        <f t="shared" ref="K346:K409" si="60">(SUMIF($11:$11,J346,$12:$12)-SUMIF($11:$11,$J$24,$12:$12)+100)/100</f>
        <v>1</v>
      </c>
      <c r="L346" s="662"/>
      <c r="M346" s="21">
        <f t="shared" ref="M346:M409" si="61">(SUMIF($13:$13,L346,$14:$14)-SUMIF($13:$13,$L$24,$14:$14)+100)/100</f>
        <v>1</v>
      </c>
      <c r="N346" s="662"/>
      <c r="O346" s="21">
        <f t="shared" ref="O346:O409" si="62">(SUMIF($15:$15,N346,$16:$16)-SUMIF($15:$15,$N$24,$16:$16)+100)/100</f>
        <v>1</v>
      </c>
      <c r="P346" s="662"/>
      <c r="Q346" s="21">
        <f t="shared" ref="Q346:Q409" si="63">(SUMIF($17:$17,P346,$18:$18)-SUMIF($17:$17,$P$24,$18:$18)+100)/100</f>
        <v>0.06</v>
      </c>
      <c r="R346" s="659">
        <f t="shared" ref="R346:R409" si="64">IF(B346="",0,ROUND($R$24*C346*E346*G346*I346*K346*M346*O346*Q346,0))</f>
        <v>0</v>
      </c>
      <c r="S346" s="316">
        <f t="shared" si="55"/>
        <v>0</v>
      </c>
    </row>
    <row r="347" spans="1:19">
      <c r="A347" s="150"/>
      <c r="B347" s="54"/>
      <c r="C347" s="21">
        <f t="shared" si="56"/>
        <v>1</v>
      </c>
      <c r="D347" s="662"/>
      <c r="E347" s="21">
        <f t="shared" si="57"/>
        <v>1</v>
      </c>
      <c r="F347" s="662"/>
      <c r="G347" s="21">
        <f t="shared" si="58"/>
        <v>1</v>
      </c>
      <c r="H347" s="662"/>
      <c r="I347" s="21">
        <f t="shared" si="59"/>
        <v>1</v>
      </c>
      <c r="J347" s="662"/>
      <c r="K347" s="21">
        <f t="shared" si="60"/>
        <v>1</v>
      </c>
      <c r="L347" s="662"/>
      <c r="M347" s="21">
        <f t="shared" si="61"/>
        <v>1</v>
      </c>
      <c r="N347" s="662"/>
      <c r="O347" s="21">
        <f t="shared" si="62"/>
        <v>1</v>
      </c>
      <c r="P347" s="662"/>
      <c r="Q347" s="21">
        <f t="shared" si="63"/>
        <v>0.06</v>
      </c>
      <c r="R347" s="659">
        <f t="shared" si="64"/>
        <v>0</v>
      </c>
      <c r="S347" s="316">
        <f t="shared" si="55"/>
        <v>0</v>
      </c>
    </row>
    <row r="348" spans="1:19">
      <c r="A348" s="150"/>
      <c r="B348" s="54"/>
      <c r="C348" s="21">
        <f t="shared" si="56"/>
        <v>1</v>
      </c>
      <c r="D348" s="662"/>
      <c r="E348" s="21">
        <f t="shared" si="57"/>
        <v>1</v>
      </c>
      <c r="F348" s="662"/>
      <c r="G348" s="21">
        <f t="shared" si="58"/>
        <v>1</v>
      </c>
      <c r="H348" s="662"/>
      <c r="I348" s="21">
        <f t="shared" si="59"/>
        <v>1</v>
      </c>
      <c r="J348" s="662"/>
      <c r="K348" s="21">
        <f t="shared" si="60"/>
        <v>1</v>
      </c>
      <c r="L348" s="662"/>
      <c r="M348" s="21">
        <f t="shared" si="61"/>
        <v>1</v>
      </c>
      <c r="N348" s="662"/>
      <c r="O348" s="21">
        <f t="shared" si="62"/>
        <v>1</v>
      </c>
      <c r="P348" s="662"/>
      <c r="Q348" s="21">
        <f t="shared" si="63"/>
        <v>0.06</v>
      </c>
      <c r="R348" s="659">
        <f t="shared" si="64"/>
        <v>0</v>
      </c>
      <c r="S348" s="316">
        <f t="shared" si="55"/>
        <v>0</v>
      </c>
    </row>
    <row r="349" spans="1:19">
      <c r="A349" s="150"/>
      <c r="B349" s="54"/>
      <c r="C349" s="21">
        <f t="shared" si="56"/>
        <v>1</v>
      </c>
      <c r="D349" s="662"/>
      <c r="E349" s="21">
        <f t="shared" si="57"/>
        <v>1</v>
      </c>
      <c r="F349" s="662"/>
      <c r="G349" s="21">
        <f t="shared" si="58"/>
        <v>1</v>
      </c>
      <c r="H349" s="662"/>
      <c r="I349" s="21">
        <f t="shared" si="59"/>
        <v>1</v>
      </c>
      <c r="J349" s="662"/>
      <c r="K349" s="21">
        <f t="shared" si="60"/>
        <v>1</v>
      </c>
      <c r="L349" s="662"/>
      <c r="M349" s="21">
        <f t="shared" si="61"/>
        <v>1</v>
      </c>
      <c r="N349" s="662"/>
      <c r="O349" s="21">
        <f t="shared" si="62"/>
        <v>1</v>
      </c>
      <c r="P349" s="662"/>
      <c r="Q349" s="21">
        <f t="shared" si="63"/>
        <v>0.06</v>
      </c>
      <c r="R349" s="659">
        <f t="shared" si="64"/>
        <v>0</v>
      </c>
      <c r="S349" s="316">
        <f t="shared" si="55"/>
        <v>0</v>
      </c>
    </row>
    <row r="350" spans="1:19">
      <c r="A350" s="150"/>
      <c r="B350" s="54"/>
      <c r="C350" s="21">
        <f t="shared" si="56"/>
        <v>1</v>
      </c>
      <c r="D350" s="662"/>
      <c r="E350" s="21">
        <f t="shared" si="57"/>
        <v>1</v>
      </c>
      <c r="F350" s="662"/>
      <c r="G350" s="21">
        <f t="shared" si="58"/>
        <v>1</v>
      </c>
      <c r="H350" s="662"/>
      <c r="I350" s="21">
        <f t="shared" si="59"/>
        <v>1</v>
      </c>
      <c r="J350" s="662"/>
      <c r="K350" s="21">
        <f t="shared" si="60"/>
        <v>1</v>
      </c>
      <c r="L350" s="662"/>
      <c r="M350" s="21">
        <f t="shared" si="61"/>
        <v>1</v>
      </c>
      <c r="N350" s="662"/>
      <c r="O350" s="21">
        <f t="shared" si="62"/>
        <v>1</v>
      </c>
      <c r="P350" s="662"/>
      <c r="Q350" s="21">
        <f t="shared" si="63"/>
        <v>0.06</v>
      </c>
      <c r="R350" s="659">
        <f t="shared" si="64"/>
        <v>0</v>
      </c>
      <c r="S350" s="316">
        <f t="shared" si="55"/>
        <v>0</v>
      </c>
    </row>
    <row r="351" spans="1:19">
      <c r="A351" s="150"/>
      <c r="B351" s="54"/>
      <c r="C351" s="21">
        <f t="shared" si="56"/>
        <v>1</v>
      </c>
      <c r="D351" s="662"/>
      <c r="E351" s="21">
        <f t="shared" si="57"/>
        <v>1</v>
      </c>
      <c r="F351" s="662"/>
      <c r="G351" s="21">
        <f t="shared" si="58"/>
        <v>1</v>
      </c>
      <c r="H351" s="662"/>
      <c r="I351" s="21">
        <f t="shared" si="59"/>
        <v>1</v>
      </c>
      <c r="J351" s="662"/>
      <c r="K351" s="21">
        <f t="shared" si="60"/>
        <v>1</v>
      </c>
      <c r="L351" s="662"/>
      <c r="M351" s="21">
        <f t="shared" si="61"/>
        <v>1</v>
      </c>
      <c r="N351" s="662"/>
      <c r="O351" s="21">
        <f t="shared" si="62"/>
        <v>1</v>
      </c>
      <c r="P351" s="662"/>
      <c r="Q351" s="21">
        <f t="shared" si="63"/>
        <v>0.06</v>
      </c>
      <c r="R351" s="659">
        <f t="shared" si="64"/>
        <v>0</v>
      </c>
      <c r="S351" s="316">
        <f t="shared" si="55"/>
        <v>0</v>
      </c>
    </row>
    <row r="352" spans="1:19">
      <c r="A352" s="150"/>
      <c r="B352" s="54"/>
      <c r="C352" s="21">
        <f t="shared" si="56"/>
        <v>1</v>
      </c>
      <c r="D352" s="662"/>
      <c r="E352" s="21">
        <f t="shared" si="57"/>
        <v>1</v>
      </c>
      <c r="F352" s="662"/>
      <c r="G352" s="21">
        <f t="shared" si="58"/>
        <v>1</v>
      </c>
      <c r="H352" s="662"/>
      <c r="I352" s="21">
        <f t="shared" si="59"/>
        <v>1</v>
      </c>
      <c r="J352" s="662"/>
      <c r="K352" s="21">
        <f t="shared" si="60"/>
        <v>1</v>
      </c>
      <c r="L352" s="662"/>
      <c r="M352" s="21">
        <f t="shared" si="61"/>
        <v>1</v>
      </c>
      <c r="N352" s="662"/>
      <c r="O352" s="21">
        <f t="shared" si="62"/>
        <v>1</v>
      </c>
      <c r="P352" s="662"/>
      <c r="Q352" s="21">
        <f t="shared" si="63"/>
        <v>0.06</v>
      </c>
      <c r="R352" s="659">
        <f t="shared" si="64"/>
        <v>0</v>
      </c>
      <c r="S352" s="316">
        <f t="shared" si="55"/>
        <v>0</v>
      </c>
    </row>
    <row r="353" spans="1:19">
      <c r="A353" s="150"/>
      <c r="B353" s="54"/>
      <c r="C353" s="21">
        <f t="shared" si="56"/>
        <v>1</v>
      </c>
      <c r="D353" s="662"/>
      <c r="E353" s="21">
        <f t="shared" si="57"/>
        <v>1</v>
      </c>
      <c r="F353" s="662"/>
      <c r="G353" s="21">
        <f t="shared" si="58"/>
        <v>1</v>
      </c>
      <c r="H353" s="662"/>
      <c r="I353" s="21">
        <f t="shared" si="59"/>
        <v>1</v>
      </c>
      <c r="J353" s="662"/>
      <c r="K353" s="21">
        <f t="shared" si="60"/>
        <v>1</v>
      </c>
      <c r="L353" s="662"/>
      <c r="M353" s="21">
        <f t="shared" si="61"/>
        <v>1</v>
      </c>
      <c r="N353" s="662"/>
      <c r="O353" s="21">
        <f t="shared" si="62"/>
        <v>1</v>
      </c>
      <c r="P353" s="662"/>
      <c r="Q353" s="21">
        <f t="shared" si="63"/>
        <v>0.06</v>
      </c>
      <c r="R353" s="659">
        <f t="shared" si="64"/>
        <v>0</v>
      </c>
      <c r="S353" s="316">
        <f t="shared" si="55"/>
        <v>0</v>
      </c>
    </row>
    <row r="354" spans="1:19">
      <c r="A354" s="150"/>
      <c r="B354" s="54"/>
      <c r="C354" s="21">
        <f t="shared" si="56"/>
        <v>1</v>
      </c>
      <c r="D354" s="662"/>
      <c r="E354" s="21">
        <f t="shared" si="57"/>
        <v>1</v>
      </c>
      <c r="F354" s="662"/>
      <c r="G354" s="21">
        <f t="shared" si="58"/>
        <v>1</v>
      </c>
      <c r="H354" s="662"/>
      <c r="I354" s="21">
        <f t="shared" si="59"/>
        <v>1</v>
      </c>
      <c r="J354" s="662"/>
      <c r="K354" s="21">
        <f t="shared" si="60"/>
        <v>1</v>
      </c>
      <c r="L354" s="662"/>
      <c r="M354" s="21">
        <f t="shared" si="61"/>
        <v>1</v>
      </c>
      <c r="N354" s="662"/>
      <c r="O354" s="21">
        <f t="shared" si="62"/>
        <v>1</v>
      </c>
      <c r="P354" s="662"/>
      <c r="Q354" s="21">
        <f t="shared" si="63"/>
        <v>0.06</v>
      </c>
      <c r="R354" s="659">
        <f t="shared" si="64"/>
        <v>0</v>
      </c>
      <c r="S354" s="316">
        <f t="shared" si="55"/>
        <v>0</v>
      </c>
    </row>
    <row r="355" spans="1:19">
      <c r="A355" s="150"/>
      <c r="B355" s="54"/>
      <c r="C355" s="21">
        <f t="shared" si="56"/>
        <v>1</v>
      </c>
      <c r="D355" s="662"/>
      <c r="E355" s="21">
        <f t="shared" si="57"/>
        <v>1</v>
      </c>
      <c r="F355" s="662"/>
      <c r="G355" s="21">
        <f t="shared" si="58"/>
        <v>1</v>
      </c>
      <c r="H355" s="662"/>
      <c r="I355" s="21">
        <f t="shared" si="59"/>
        <v>1</v>
      </c>
      <c r="J355" s="662"/>
      <c r="K355" s="21">
        <f t="shared" si="60"/>
        <v>1</v>
      </c>
      <c r="L355" s="662"/>
      <c r="M355" s="21">
        <f t="shared" si="61"/>
        <v>1</v>
      </c>
      <c r="N355" s="662"/>
      <c r="O355" s="21">
        <f t="shared" si="62"/>
        <v>1</v>
      </c>
      <c r="P355" s="662"/>
      <c r="Q355" s="21">
        <f t="shared" si="63"/>
        <v>0.06</v>
      </c>
      <c r="R355" s="659">
        <f t="shared" si="64"/>
        <v>0</v>
      </c>
      <c r="S355" s="316">
        <f t="shared" si="55"/>
        <v>0</v>
      </c>
    </row>
    <row r="356" spans="1:19">
      <c r="A356" s="150"/>
      <c r="B356" s="54"/>
      <c r="C356" s="21">
        <f t="shared" si="56"/>
        <v>1</v>
      </c>
      <c r="D356" s="662"/>
      <c r="E356" s="21">
        <f t="shared" si="57"/>
        <v>1</v>
      </c>
      <c r="F356" s="662"/>
      <c r="G356" s="21">
        <f t="shared" si="58"/>
        <v>1</v>
      </c>
      <c r="H356" s="662"/>
      <c r="I356" s="21">
        <f t="shared" si="59"/>
        <v>1</v>
      </c>
      <c r="J356" s="662"/>
      <c r="K356" s="21">
        <f t="shared" si="60"/>
        <v>1</v>
      </c>
      <c r="L356" s="662"/>
      <c r="M356" s="21">
        <f t="shared" si="61"/>
        <v>1</v>
      </c>
      <c r="N356" s="662"/>
      <c r="O356" s="21">
        <f t="shared" si="62"/>
        <v>1</v>
      </c>
      <c r="P356" s="662"/>
      <c r="Q356" s="21">
        <f t="shared" si="63"/>
        <v>0.06</v>
      </c>
      <c r="R356" s="659">
        <f t="shared" si="64"/>
        <v>0</v>
      </c>
      <c r="S356" s="316">
        <f t="shared" si="55"/>
        <v>0</v>
      </c>
    </row>
    <row r="357" spans="1:19">
      <c r="A357" s="150"/>
      <c r="B357" s="54"/>
      <c r="C357" s="21">
        <f t="shared" si="56"/>
        <v>1</v>
      </c>
      <c r="D357" s="662"/>
      <c r="E357" s="21">
        <f t="shared" si="57"/>
        <v>1</v>
      </c>
      <c r="F357" s="662"/>
      <c r="G357" s="21">
        <f t="shared" si="58"/>
        <v>1</v>
      </c>
      <c r="H357" s="662"/>
      <c r="I357" s="21">
        <f t="shared" si="59"/>
        <v>1</v>
      </c>
      <c r="J357" s="662"/>
      <c r="K357" s="21">
        <f t="shared" si="60"/>
        <v>1</v>
      </c>
      <c r="L357" s="662"/>
      <c r="M357" s="21">
        <f t="shared" si="61"/>
        <v>1</v>
      </c>
      <c r="N357" s="662"/>
      <c r="O357" s="21">
        <f t="shared" si="62"/>
        <v>1</v>
      </c>
      <c r="P357" s="662"/>
      <c r="Q357" s="21">
        <f t="shared" si="63"/>
        <v>0.06</v>
      </c>
      <c r="R357" s="659">
        <f t="shared" si="64"/>
        <v>0</v>
      </c>
      <c r="S357" s="316">
        <f t="shared" si="55"/>
        <v>0</v>
      </c>
    </row>
    <row r="358" spans="1:19">
      <c r="A358" s="150"/>
      <c r="B358" s="54"/>
      <c r="C358" s="21">
        <f t="shared" si="56"/>
        <v>1</v>
      </c>
      <c r="D358" s="662"/>
      <c r="E358" s="21">
        <f t="shared" si="57"/>
        <v>1</v>
      </c>
      <c r="F358" s="662"/>
      <c r="G358" s="21">
        <f t="shared" si="58"/>
        <v>1</v>
      </c>
      <c r="H358" s="662"/>
      <c r="I358" s="21">
        <f t="shared" si="59"/>
        <v>1</v>
      </c>
      <c r="J358" s="662"/>
      <c r="K358" s="21">
        <f t="shared" si="60"/>
        <v>1</v>
      </c>
      <c r="L358" s="662"/>
      <c r="M358" s="21">
        <f t="shared" si="61"/>
        <v>1</v>
      </c>
      <c r="N358" s="662"/>
      <c r="O358" s="21">
        <f t="shared" si="62"/>
        <v>1</v>
      </c>
      <c r="P358" s="662"/>
      <c r="Q358" s="21">
        <f t="shared" si="63"/>
        <v>0.06</v>
      </c>
      <c r="R358" s="659">
        <f t="shared" si="64"/>
        <v>0</v>
      </c>
      <c r="S358" s="316">
        <f t="shared" si="55"/>
        <v>0</v>
      </c>
    </row>
    <row r="359" spans="1:19">
      <c r="A359" s="150"/>
      <c r="B359" s="54"/>
      <c r="C359" s="21">
        <f t="shared" si="56"/>
        <v>1</v>
      </c>
      <c r="D359" s="662"/>
      <c r="E359" s="21">
        <f t="shared" si="57"/>
        <v>1</v>
      </c>
      <c r="F359" s="662"/>
      <c r="G359" s="21">
        <f t="shared" si="58"/>
        <v>1</v>
      </c>
      <c r="H359" s="662"/>
      <c r="I359" s="21">
        <f t="shared" si="59"/>
        <v>1</v>
      </c>
      <c r="J359" s="662"/>
      <c r="K359" s="21">
        <f t="shared" si="60"/>
        <v>1</v>
      </c>
      <c r="L359" s="662"/>
      <c r="M359" s="21">
        <f t="shared" si="61"/>
        <v>1</v>
      </c>
      <c r="N359" s="662"/>
      <c r="O359" s="21">
        <f t="shared" si="62"/>
        <v>1</v>
      </c>
      <c r="P359" s="662"/>
      <c r="Q359" s="21">
        <f t="shared" si="63"/>
        <v>0.06</v>
      </c>
      <c r="R359" s="659">
        <f t="shared" si="64"/>
        <v>0</v>
      </c>
      <c r="S359" s="316">
        <f t="shared" si="55"/>
        <v>0</v>
      </c>
    </row>
    <row r="360" spans="1:19">
      <c r="A360" s="150"/>
      <c r="B360" s="54"/>
      <c r="C360" s="21">
        <f t="shared" si="56"/>
        <v>1</v>
      </c>
      <c r="D360" s="662"/>
      <c r="E360" s="21">
        <f t="shared" si="57"/>
        <v>1</v>
      </c>
      <c r="F360" s="662"/>
      <c r="G360" s="21">
        <f t="shared" si="58"/>
        <v>1</v>
      </c>
      <c r="H360" s="662"/>
      <c r="I360" s="21">
        <f t="shared" si="59"/>
        <v>1</v>
      </c>
      <c r="J360" s="662"/>
      <c r="K360" s="21">
        <f t="shared" si="60"/>
        <v>1</v>
      </c>
      <c r="L360" s="662"/>
      <c r="M360" s="21">
        <f t="shared" si="61"/>
        <v>1</v>
      </c>
      <c r="N360" s="662"/>
      <c r="O360" s="21">
        <f t="shared" si="62"/>
        <v>1</v>
      </c>
      <c r="P360" s="662"/>
      <c r="Q360" s="21">
        <f t="shared" si="63"/>
        <v>0.06</v>
      </c>
      <c r="R360" s="659">
        <f t="shared" si="64"/>
        <v>0</v>
      </c>
      <c r="S360" s="316">
        <f t="shared" si="55"/>
        <v>0</v>
      </c>
    </row>
    <row r="361" spans="1:19">
      <c r="A361" s="150"/>
      <c r="B361" s="54"/>
      <c r="C361" s="21">
        <f t="shared" si="56"/>
        <v>1</v>
      </c>
      <c r="D361" s="662"/>
      <c r="E361" s="21">
        <f t="shared" si="57"/>
        <v>1</v>
      </c>
      <c r="F361" s="662"/>
      <c r="G361" s="21">
        <f t="shared" si="58"/>
        <v>1</v>
      </c>
      <c r="H361" s="662"/>
      <c r="I361" s="21">
        <f t="shared" si="59"/>
        <v>1</v>
      </c>
      <c r="J361" s="662"/>
      <c r="K361" s="21">
        <f t="shared" si="60"/>
        <v>1</v>
      </c>
      <c r="L361" s="662"/>
      <c r="M361" s="21">
        <f t="shared" si="61"/>
        <v>1</v>
      </c>
      <c r="N361" s="662"/>
      <c r="O361" s="21">
        <f t="shared" si="62"/>
        <v>1</v>
      </c>
      <c r="P361" s="662"/>
      <c r="Q361" s="21">
        <f t="shared" si="63"/>
        <v>0.06</v>
      </c>
      <c r="R361" s="659">
        <f t="shared" si="64"/>
        <v>0</v>
      </c>
      <c r="S361" s="316">
        <f t="shared" si="55"/>
        <v>0</v>
      </c>
    </row>
    <row r="362" spans="1:19">
      <c r="A362" s="150"/>
      <c r="B362" s="54"/>
      <c r="C362" s="21">
        <f t="shared" si="56"/>
        <v>1</v>
      </c>
      <c r="D362" s="662"/>
      <c r="E362" s="21">
        <f t="shared" si="57"/>
        <v>1</v>
      </c>
      <c r="F362" s="662"/>
      <c r="G362" s="21">
        <f t="shared" si="58"/>
        <v>1</v>
      </c>
      <c r="H362" s="662"/>
      <c r="I362" s="21">
        <f t="shared" si="59"/>
        <v>1</v>
      </c>
      <c r="J362" s="662"/>
      <c r="K362" s="21">
        <f t="shared" si="60"/>
        <v>1</v>
      </c>
      <c r="L362" s="662"/>
      <c r="M362" s="21">
        <f t="shared" si="61"/>
        <v>1</v>
      </c>
      <c r="N362" s="662"/>
      <c r="O362" s="21">
        <f t="shared" si="62"/>
        <v>1</v>
      </c>
      <c r="P362" s="662"/>
      <c r="Q362" s="21">
        <f t="shared" si="63"/>
        <v>0.06</v>
      </c>
      <c r="R362" s="659">
        <f t="shared" si="64"/>
        <v>0</v>
      </c>
      <c r="S362" s="316">
        <f t="shared" si="55"/>
        <v>0</v>
      </c>
    </row>
    <row r="363" spans="1:19">
      <c r="A363" s="150"/>
      <c r="B363" s="54"/>
      <c r="C363" s="21">
        <f t="shared" si="56"/>
        <v>1</v>
      </c>
      <c r="D363" s="662"/>
      <c r="E363" s="21">
        <f t="shared" si="57"/>
        <v>1</v>
      </c>
      <c r="F363" s="662"/>
      <c r="G363" s="21">
        <f t="shared" si="58"/>
        <v>1</v>
      </c>
      <c r="H363" s="662"/>
      <c r="I363" s="21">
        <f t="shared" si="59"/>
        <v>1</v>
      </c>
      <c r="J363" s="662"/>
      <c r="K363" s="21">
        <f t="shared" si="60"/>
        <v>1</v>
      </c>
      <c r="L363" s="662"/>
      <c r="M363" s="21">
        <f t="shared" si="61"/>
        <v>1</v>
      </c>
      <c r="N363" s="662"/>
      <c r="O363" s="21">
        <f t="shared" si="62"/>
        <v>1</v>
      </c>
      <c r="P363" s="662"/>
      <c r="Q363" s="21">
        <f t="shared" si="63"/>
        <v>0.06</v>
      </c>
      <c r="R363" s="659">
        <f t="shared" si="64"/>
        <v>0</v>
      </c>
      <c r="S363" s="316">
        <f t="shared" si="55"/>
        <v>0</v>
      </c>
    </row>
    <row r="364" spans="1:19">
      <c r="A364" s="150"/>
      <c r="B364" s="54"/>
      <c r="C364" s="21">
        <f t="shared" si="56"/>
        <v>1</v>
      </c>
      <c r="D364" s="662"/>
      <c r="E364" s="21">
        <f t="shared" si="57"/>
        <v>1</v>
      </c>
      <c r="F364" s="662"/>
      <c r="G364" s="21">
        <f t="shared" si="58"/>
        <v>1</v>
      </c>
      <c r="H364" s="662"/>
      <c r="I364" s="21">
        <f t="shared" si="59"/>
        <v>1</v>
      </c>
      <c r="J364" s="662"/>
      <c r="K364" s="21">
        <f t="shared" si="60"/>
        <v>1</v>
      </c>
      <c r="L364" s="662"/>
      <c r="M364" s="21">
        <f t="shared" si="61"/>
        <v>1</v>
      </c>
      <c r="N364" s="662"/>
      <c r="O364" s="21">
        <f t="shared" si="62"/>
        <v>1</v>
      </c>
      <c r="P364" s="662"/>
      <c r="Q364" s="21">
        <f t="shared" si="63"/>
        <v>0.06</v>
      </c>
      <c r="R364" s="659">
        <f t="shared" si="64"/>
        <v>0</v>
      </c>
      <c r="S364" s="316">
        <f t="shared" si="55"/>
        <v>0</v>
      </c>
    </row>
    <row r="365" spans="1:19">
      <c r="A365" s="150"/>
      <c r="B365" s="54"/>
      <c r="C365" s="21">
        <f t="shared" si="56"/>
        <v>1</v>
      </c>
      <c r="D365" s="662"/>
      <c r="E365" s="21">
        <f t="shared" si="57"/>
        <v>1</v>
      </c>
      <c r="F365" s="662"/>
      <c r="G365" s="21">
        <f t="shared" si="58"/>
        <v>1</v>
      </c>
      <c r="H365" s="662"/>
      <c r="I365" s="21">
        <f t="shared" si="59"/>
        <v>1</v>
      </c>
      <c r="J365" s="662"/>
      <c r="K365" s="21">
        <f t="shared" si="60"/>
        <v>1</v>
      </c>
      <c r="L365" s="662"/>
      <c r="M365" s="21">
        <f t="shared" si="61"/>
        <v>1</v>
      </c>
      <c r="N365" s="662"/>
      <c r="O365" s="21">
        <f t="shared" si="62"/>
        <v>1</v>
      </c>
      <c r="P365" s="662"/>
      <c r="Q365" s="21">
        <f t="shared" si="63"/>
        <v>0.06</v>
      </c>
      <c r="R365" s="659">
        <f t="shared" si="64"/>
        <v>0</v>
      </c>
      <c r="S365" s="316">
        <f t="shared" si="55"/>
        <v>0</v>
      </c>
    </row>
    <row r="366" spans="1:19">
      <c r="A366" s="150"/>
      <c r="B366" s="54"/>
      <c r="C366" s="21">
        <f t="shared" si="56"/>
        <v>1</v>
      </c>
      <c r="D366" s="662"/>
      <c r="E366" s="21">
        <f t="shared" si="57"/>
        <v>1</v>
      </c>
      <c r="F366" s="662"/>
      <c r="G366" s="21">
        <f t="shared" si="58"/>
        <v>1</v>
      </c>
      <c r="H366" s="662"/>
      <c r="I366" s="21">
        <f t="shared" si="59"/>
        <v>1</v>
      </c>
      <c r="J366" s="662"/>
      <c r="K366" s="21">
        <f t="shared" si="60"/>
        <v>1</v>
      </c>
      <c r="L366" s="662"/>
      <c r="M366" s="21">
        <f t="shared" si="61"/>
        <v>1</v>
      </c>
      <c r="N366" s="662"/>
      <c r="O366" s="21">
        <f t="shared" si="62"/>
        <v>1</v>
      </c>
      <c r="P366" s="662"/>
      <c r="Q366" s="21">
        <f t="shared" si="63"/>
        <v>0.06</v>
      </c>
      <c r="R366" s="659">
        <f t="shared" si="64"/>
        <v>0</v>
      </c>
      <c r="S366" s="316">
        <f t="shared" si="55"/>
        <v>0</v>
      </c>
    </row>
    <row r="367" spans="1:19">
      <c r="A367" s="150"/>
      <c r="B367" s="54"/>
      <c r="C367" s="21">
        <f t="shared" si="56"/>
        <v>1</v>
      </c>
      <c r="D367" s="662"/>
      <c r="E367" s="21">
        <f t="shared" si="57"/>
        <v>1</v>
      </c>
      <c r="F367" s="662"/>
      <c r="G367" s="21">
        <f t="shared" si="58"/>
        <v>1</v>
      </c>
      <c r="H367" s="662"/>
      <c r="I367" s="21">
        <f t="shared" si="59"/>
        <v>1</v>
      </c>
      <c r="J367" s="662"/>
      <c r="K367" s="21">
        <f t="shared" si="60"/>
        <v>1</v>
      </c>
      <c r="L367" s="662"/>
      <c r="M367" s="21">
        <f t="shared" si="61"/>
        <v>1</v>
      </c>
      <c r="N367" s="662"/>
      <c r="O367" s="21">
        <f t="shared" si="62"/>
        <v>1</v>
      </c>
      <c r="P367" s="662"/>
      <c r="Q367" s="21">
        <f t="shared" si="63"/>
        <v>0.06</v>
      </c>
      <c r="R367" s="659">
        <f t="shared" si="64"/>
        <v>0</v>
      </c>
      <c r="S367" s="316">
        <f t="shared" si="55"/>
        <v>0</v>
      </c>
    </row>
    <row r="368" spans="1:19">
      <c r="A368" s="150"/>
      <c r="B368" s="54"/>
      <c r="C368" s="21">
        <f t="shared" si="56"/>
        <v>1</v>
      </c>
      <c r="D368" s="662"/>
      <c r="E368" s="21">
        <f t="shared" si="57"/>
        <v>1</v>
      </c>
      <c r="F368" s="662"/>
      <c r="G368" s="21">
        <f t="shared" si="58"/>
        <v>1</v>
      </c>
      <c r="H368" s="662"/>
      <c r="I368" s="21">
        <f t="shared" si="59"/>
        <v>1</v>
      </c>
      <c r="J368" s="662"/>
      <c r="K368" s="21">
        <f t="shared" si="60"/>
        <v>1</v>
      </c>
      <c r="L368" s="662"/>
      <c r="M368" s="21">
        <f t="shared" si="61"/>
        <v>1</v>
      </c>
      <c r="N368" s="662"/>
      <c r="O368" s="21">
        <f t="shared" si="62"/>
        <v>1</v>
      </c>
      <c r="P368" s="662"/>
      <c r="Q368" s="21">
        <f t="shared" si="63"/>
        <v>0.06</v>
      </c>
      <c r="R368" s="659">
        <f t="shared" si="64"/>
        <v>0</v>
      </c>
      <c r="S368" s="316">
        <f t="shared" si="55"/>
        <v>0</v>
      </c>
    </row>
    <row r="369" spans="1:19">
      <c r="A369" s="150"/>
      <c r="B369" s="54"/>
      <c r="C369" s="21">
        <f t="shared" si="56"/>
        <v>1</v>
      </c>
      <c r="D369" s="662"/>
      <c r="E369" s="21">
        <f t="shared" si="57"/>
        <v>1</v>
      </c>
      <c r="F369" s="662"/>
      <c r="G369" s="21">
        <f t="shared" si="58"/>
        <v>1</v>
      </c>
      <c r="H369" s="662"/>
      <c r="I369" s="21">
        <f t="shared" si="59"/>
        <v>1</v>
      </c>
      <c r="J369" s="662"/>
      <c r="K369" s="21">
        <f t="shared" si="60"/>
        <v>1</v>
      </c>
      <c r="L369" s="662"/>
      <c r="M369" s="21">
        <f t="shared" si="61"/>
        <v>1</v>
      </c>
      <c r="N369" s="662"/>
      <c r="O369" s="21">
        <f t="shared" si="62"/>
        <v>1</v>
      </c>
      <c r="P369" s="662"/>
      <c r="Q369" s="21">
        <f t="shared" si="63"/>
        <v>0.06</v>
      </c>
      <c r="R369" s="659">
        <f t="shared" si="64"/>
        <v>0</v>
      </c>
      <c r="S369" s="316">
        <f t="shared" si="55"/>
        <v>0</v>
      </c>
    </row>
    <row r="370" spans="1:19">
      <c r="A370" s="150"/>
      <c r="B370" s="54"/>
      <c r="C370" s="21">
        <f t="shared" si="56"/>
        <v>1</v>
      </c>
      <c r="D370" s="662"/>
      <c r="E370" s="21">
        <f t="shared" si="57"/>
        <v>1</v>
      </c>
      <c r="F370" s="662"/>
      <c r="G370" s="21">
        <f t="shared" si="58"/>
        <v>1</v>
      </c>
      <c r="H370" s="662"/>
      <c r="I370" s="21">
        <f t="shared" si="59"/>
        <v>1</v>
      </c>
      <c r="J370" s="662"/>
      <c r="K370" s="21">
        <f t="shared" si="60"/>
        <v>1</v>
      </c>
      <c r="L370" s="662"/>
      <c r="M370" s="21">
        <f t="shared" si="61"/>
        <v>1</v>
      </c>
      <c r="N370" s="662"/>
      <c r="O370" s="21">
        <f t="shared" si="62"/>
        <v>1</v>
      </c>
      <c r="P370" s="662"/>
      <c r="Q370" s="21">
        <f t="shared" si="63"/>
        <v>0.06</v>
      </c>
      <c r="R370" s="659">
        <f t="shared" si="64"/>
        <v>0</v>
      </c>
      <c r="S370" s="316">
        <f t="shared" si="55"/>
        <v>0</v>
      </c>
    </row>
    <row r="371" spans="1:19">
      <c r="A371" s="150"/>
      <c r="B371" s="54"/>
      <c r="C371" s="21">
        <f t="shared" si="56"/>
        <v>1</v>
      </c>
      <c r="D371" s="662"/>
      <c r="E371" s="21">
        <f t="shared" si="57"/>
        <v>1</v>
      </c>
      <c r="F371" s="662"/>
      <c r="G371" s="21">
        <f t="shared" si="58"/>
        <v>1</v>
      </c>
      <c r="H371" s="662"/>
      <c r="I371" s="21">
        <f t="shared" si="59"/>
        <v>1</v>
      </c>
      <c r="J371" s="662"/>
      <c r="K371" s="21">
        <f t="shared" si="60"/>
        <v>1</v>
      </c>
      <c r="L371" s="662"/>
      <c r="M371" s="21">
        <f t="shared" si="61"/>
        <v>1</v>
      </c>
      <c r="N371" s="662"/>
      <c r="O371" s="21">
        <f t="shared" si="62"/>
        <v>1</v>
      </c>
      <c r="P371" s="662"/>
      <c r="Q371" s="21">
        <f t="shared" si="63"/>
        <v>0.06</v>
      </c>
      <c r="R371" s="659">
        <f t="shared" si="64"/>
        <v>0</v>
      </c>
      <c r="S371" s="316">
        <f t="shared" si="55"/>
        <v>0</v>
      </c>
    </row>
    <row r="372" spans="1:19">
      <c r="A372" s="150"/>
      <c r="B372" s="54"/>
      <c r="C372" s="21">
        <f t="shared" si="56"/>
        <v>1</v>
      </c>
      <c r="D372" s="662"/>
      <c r="E372" s="21">
        <f t="shared" si="57"/>
        <v>1</v>
      </c>
      <c r="F372" s="662"/>
      <c r="G372" s="21">
        <f t="shared" si="58"/>
        <v>1</v>
      </c>
      <c r="H372" s="662"/>
      <c r="I372" s="21">
        <f t="shared" si="59"/>
        <v>1</v>
      </c>
      <c r="J372" s="662"/>
      <c r="K372" s="21">
        <f t="shared" si="60"/>
        <v>1</v>
      </c>
      <c r="L372" s="662"/>
      <c r="M372" s="21">
        <f t="shared" si="61"/>
        <v>1</v>
      </c>
      <c r="N372" s="662"/>
      <c r="O372" s="21">
        <f t="shared" si="62"/>
        <v>1</v>
      </c>
      <c r="P372" s="662"/>
      <c r="Q372" s="21">
        <f t="shared" si="63"/>
        <v>0.06</v>
      </c>
      <c r="R372" s="659">
        <f t="shared" si="64"/>
        <v>0</v>
      </c>
      <c r="S372" s="316">
        <f t="shared" si="55"/>
        <v>0</v>
      </c>
    </row>
    <row r="373" spans="1:19">
      <c r="A373" s="150"/>
      <c r="B373" s="54"/>
      <c r="C373" s="21">
        <f t="shared" si="56"/>
        <v>1</v>
      </c>
      <c r="D373" s="662"/>
      <c r="E373" s="21">
        <f t="shared" si="57"/>
        <v>1</v>
      </c>
      <c r="F373" s="662"/>
      <c r="G373" s="21">
        <f t="shared" si="58"/>
        <v>1</v>
      </c>
      <c r="H373" s="662"/>
      <c r="I373" s="21">
        <f t="shared" si="59"/>
        <v>1</v>
      </c>
      <c r="J373" s="662"/>
      <c r="K373" s="21">
        <f t="shared" si="60"/>
        <v>1</v>
      </c>
      <c r="L373" s="662"/>
      <c r="M373" s="21">
        <f t="shared" si="61"/>
        <v>1</v>
      </c>
      <c r="N373" s="662"/>
      <c r="O373" s="21">
        <f t="shared" si="62"/>
        <v>1</v>
      </c>
      <c r="P373" s="662"/>
      <c r="Q373" s="21">
        <f t="shared" si="63"/>
        <v>0.06</v>
      </c>
      <c r="R373" s="659">
        <f t="shared" si="64"/>
        <v>0</v>
      </c>
      <c r="S373" s="316">
        <f t="shared" si="55"/>
        <v>0</v>
      </c>
    </row>
    <row r="374" spans="1:19">
      <c r="A374" s="150"/>
      <c r="B374" s="54"/>
      <c r="C374" s="21">
        <f t="shared" si="56"/>
        <v>1</v>
      </c>
      <c r="D374" s="662"/>
      <c r="E374" s="21">
        <f t="shared" si="57"/>
        <v>1</v>
      </c>
      <c r="F374" s="662"/>
      <c r="G374" s="21">
        <f t="shared" si="58"/>
        <v>1</v>
      </c>
      <c r="H374" s="662"/>
      <c r="I374" s="21">
        <f t="shared" si="59"/>
        <v>1</v>
      </c>
      <c r="J374" s="662"/>
      <c r="K374" s="21">
        <f t="shared" si="60"/>
        <v>1</v>
      </c>
      <c r="L374" s="662"/>
      <c r="M374" s="21">
        <f t="shared" si="61"/>
        <v>1</v>
      </c>
      <c r="N374" s="662"/>
      <c r="O374" s="21">
        <f t="shared" si="62"/>
        <v>1</v>
      </c>
      <c r="P374" s="662"/>
      <c r="Q374" s="21">
        <f t="shared" si="63"/>
        <v>0.06</v>
      </c>
      <c r="R374" s="659">
        <f t="shared" si="64"/>
        <v>0</v>
      </c>
      <c r="S374" s="316">
        <f t="shared" si="55"/>
        <v>0</v>
      </c>
    </row>
    <row r="375" spans="1:19">
      <c r="A375" s="150"/>
      <c r="B375" s="54"/>
      <c r="C375" s="21">
        <f t="shared" si="56"/>
        <v>1</v>
      </c>
      <c r="D375" s="662"/>
      <c r="E375" s="21">
        <f t="shared" si="57"/>
        <v>1</v>
      </c>
      <c r="F375" s="662"/>
      <c r="G375" s="21">
        <f t="shared" si="58"/>
        <v>1</v>
      </c>
      <c r="H375" s="662"/>
      <c r="I375" s="21">
        <f t="shared" si="59"/>
        <v>1</v>
      </c>
      <c r="J375" s="662"/>
      <c r="K375" s="21">
        <f t="shared" si="60"/>
        <v>1</v>
      </c>
      <c r="L375" s="662"/>
      <c r="M375" s="21">
        <f t="shared" si="61"/>
        <v>1</v>
      </c>
      <c r="N375" s="662"/>
      <c r="O375" s="21">
        <f t="shared" si="62"/>
        <v>1</v>
      </c>
      <c r="P375" s="662"/>
      <c r="Q375" s="21">
        <f t="shared" si="63"/>
        <v>0.06</v>
      </c>
      <c r="R375" s="659">
        <f t="shared" si="64"/>
        <v>0</v>
      </c>
      <c r="S375" s="316">
        <f t="shared" si="55"/>
        <v>0</v>
      </c>
    </row>
    <row r="376" spans="1:19">
      <c r="A376" s="150"/>
      <c r="B376" s="54"/>
      <c r="C376" s="21">
        <f t="shared" si="56"/>
        <v>1</v>
      </c>
      <c r="D376" s="662"/>
      <c r="E376" s="21">
        <f t="shared" si="57"/>
        <v>1</v>
      </c>
      <c r="F376" s="662"/>
      <c r="G376" s="21">
        <f t="shared" si="58"/>
        <v>1</v>
      </c>
      <c r="H376" s="662"/>
      <c r="I376" s="21">
        <f t="shared" si="59"/>
        <v>1</v>
      </c>
      <c r="J376" s="662"/>
      <c r="K376" s="21">
        <f t="shared" si="60"/>
        <v>1</v>
      </c>
      <c r="L376" s="662"/>
      <c r="M376" s="21">
        <f t="shared" si="61"/>
        <v>1</v>
      </c>
      <c r="N376" s="662"/>
      <c r="O376" s="21">
        <f t="shared" si="62"/>
        <v>1</v>
      </c>
      <c r="P376" s="662"/>
      <c r="Q376" s="21">
        <f t="shared" si="63"/>
        <v>0.06</v>
      </c>
      <c r="R376" s="659">
        <f t="shared" si="64"/>
        <v>0</v>
      </c>
      <c r="S376" s="316">
        <f t="shared" si="55"/>
        <v>0</v>
      </c>
    </row>
    <row r="377" spans="1:19">
      <c r="A377" s="150"/>
      <c r="B377" s="54"/>
      <c r="C377" s="21">
        <f t="shared" si="56"/>
        <v>1</v>
      </c>
      <c r="D377" s="662"/>
      <c r="E377" s="21">
        <f t="shared" si="57"/>
        <v>1</v>
      </c>
      <c r="F377" s="662"/>
      <c r="G377" s="21">
        <f t="shared" si="58"/>
        <v>1</v>
      </c>
      <c r="H377" s="662"/>
      <c r="I377" s="21">
        <f t="shared" si="59"/>
        <v>1</v>
      </c>
      <c r="J377" s="662"/>
      <c r="K377" s="21">
        <f t="shared" si="60"/>
        <v>1</v>
      </c>
      <c r="L377" s="662"/>
      <c r="M377" s="21">
        <f t="shared" si="61"/>
        <v>1</v>
      </c>
      <c r="N377" s="662"/>
      <c r="O377" s="21">
        <f t="shared" si="62"/>
        <v>1</v>
      </c>
      <c r="P377" s="662"/>
      <c r="Q377" s="21">
        <f t="shared" si="63"/>
        <v>0.06</v>
      </c>
      <c r="R377" s="659">
        <f t="shared" si="64"/>
        <v>0</v>
      </c>
      <c r="S377" s="316">
        <f t="shared" si="55"/>
        <v>0</v>
      </c>
    </row>
    <row r="378" spans="1:19">
      <c r="A378" s="150"/>
      <c r="B378" s="54"/>
      <c r="C378" s="21">
        <f t="shared" si="56"/>
        <v>1</v>
      </c>
      <c r="D378" s="662"/>
      <c r="E378" s="21">
        <f t="shared" si="57"/>
        <v>1</v>
      </c>
      <c r="F378" s="662"/>
      <c r="G378" s="21">
        <f t="shared" si="58"/>
        <v>1</v>
      </c>
      <c r="H378" s="662"/>
      <c r="I378" s="21">
        <f t="shared" si="59"/>
        <v>1</v>
      </c>
      <c r="J378" s="662"/>
      <c r="K378" s="21">
        <f t="shared" si="60"/>
        <v>1</v>
      </c>
      <c r="L378" s="662"/>
      <c r="M378" s="21">
        <f t="shared" si="61"/>
        <v>1</v>
      </c>
      <c r="N378" s="662"/>
      <c r="O378" s="21">
        <f t="shared" si="62"/>
        <v>1</v>
      </c>
      <c r="P378" s="662"/>
      <c r="Q378" s="21">
        <f t="shared" si="63"/>
        <v>0.06</v>
      </c>
      <c r="R378" s="659">
        <f t="shared" si="64"/>
        <v>0</v>
      </c>
      <c r="S378" s="316">
        <f t="shared" si="55"/>
        <v>0</v>
      </c>
    </row>
    <row r="379" spans="1:19">
      <c r="A379" s="150"/>
      <c r="B379" s="54"/>
      <c r="C379" s="21">
        <f t="shared" si="56"/>
        <v>1</v>
      </c>
      <c r="D379" s="662"/>
      <c r="E379" s="21">
        <f t="shared" si="57"/>
        <v>1</v>
      </c>
      <c r="F379" s="662"/>
      <c r="G379" s="21">
        <f t="shared" si="58"/>
        <v>1</v>
      </c>
      <c r="H379" s="662"/>
      <c r="I379" s="21">
        <f t="shared" si="59"/>
        <v>1</v>
      </c>
      <c r="J379" s="662"/>
      <c r="K379" s="21">
        <f t="shared" si="60"/>
        <v>1</v>
      </c>
      <c r="L379" s="662"/>
      <c r="M379" s="21">
        <f t="shared" si="61"/>
        <v>1</v>
      </c>
      <c r="N379" s="662"/>
      <c r="O379" s="21">
        <f t="shared" si="62"/>
        <v>1</v>
      </c>
      <c r="P379" s="662"/>
      <c r="Q379" s="21">
        <f t="shared" si="63"/>
        <v>0.06</v>
      </c>
      <c r="R379" s="659">
        <f t="shared" si="64"/>
        <v>0</v>
      </c>
      <c r="S379" s="316">
        <f t="shared" si="55"/>
        <v>0</v>
      </c>
    </row>
    <row r="380" spans="1:19">
      <c r="A380" s="150"/>
      <c r="B380" s="54"/>
      <c r="C380" s="21">
        <f t="shared" si="56"/>
        <v>1</v>
      </c>
      <c r="D380" s="662"/>
      <c r="E380" s="21">
        <f t="shared" si="57"/>
        <v>1</v>
      </c>
      <c r="F380" s="662"/>
      <c r="G380" s="21">
        <f t="shared" si="58"/>
        <v>1</v>
      </c>
      <c r="H380" s="662"/>
      <c r="I380" s="21">
        <f t="shared" si="59"/>
        <v>1</v>
      </c>
      <c r="J380" s="662"/>
      <c r="K380" s="21">
        <f t="shared" si="60"/>
        <v>1</v>
      </c>
      <c r="L380" s="662"/>
      <c r="M380" s="21">
        <f t="shared" si="61"/>
        <v>1</v>
      </c>
      <c r="N380" s="662"/>
      <c r="O380" s="21">
        <f t="shared" si="62"/>
        <v>1</v>
      </c>
      <c r="P380" s="662"/>
      <c r="Q380" s="21">
        <f t="shared" si="63"/>
        <v>0.06</v>
      </c>
      <c r="R380" s="659">
        <f t="shared" si="64"/>
        <v>0</v>
      </c>
      <c r="S380" s="316">
        <f t="shared" si="55"/>
        <v>0</v>
      </c>
    </row>
    <row r="381" spans="1:19">
      <c r="A381" s="150"/>
      <c r="B381" s="54"/>
      <c r="C381" s="21">
        <f t="shared" si="56"/>
        <v>1</v>
      </c>
      <c r="D381" s="662"/>
      <c r="E381" s="21">
        <f t="shared" si="57"/>
        <v>1</v>
      </c>
      <c r="F381" s="662"/>
      <c r="G381" s="21">
        <f t="shared" si="58"/>
        <v>1</v>
      </c>
      <c r="H381" s="662"/>
      <c r="I381" s="21">
        <f t="shared" si="59"/>
        <v>1</v>
      </c>
      <c r="J381" s="662"/>
      <c r="K381" s="21">
        <f t="shared" si="60"/>
        <v>1</v>
      </c>
      <c r="L381" s="662"/>
      <c r="M381" s="21">
        <f t="shared" si="61"/>
        <v>1</v>
      </c>
      <c r="N381" s="662"/>
      <c r="O381" s="21">
        <f t="shared" si="62"/>
        <v>1</v>
      </c>
      <c r="P381" s="662"/>
      <c r="Q381" s="21">
        <f t="shared" si="63"/>
        <v>0.06</v>
      </c>
      <c r="R381" s="659">
        <f t="shared" si="64"/>
        <v>0</v>
      </c>
      <c r="S381" s="316">
        <f t="shared" si="55"/>
        <v>0</v>
      </c>
    </row>
    <row r="382" spans="1:19">
      <c r="A382" s="150"/>
      <c r="B382" s="54"/>
      <c r="C382" s="21">
        <f t="shared" si="56"/>
        <v>1</v>
      </c>
      <c r="D382" s="662"/>
      <c r="E382" s="21">
        <f t="shared" si="57"/>
        <v>1</v>
      </c>
      <c r="F382" s="662"/>
      <c r="G382" s="21">
        <f t="shared" si="58"/>
        <v>1</v>
      </c>
      <c r="H382" s="662"/>
      <c r="I382" s="21">
        <f t="shared" si="59"/>
        <v>1</v>
      </c>
      <c r="J382" s="662"/>
      <c r="K382" s="21">
        <f t="shared" si="60"/>
        <v>1</v>
      </c>
      <c r="L382" s="662"/>
      <c r="M382" s="21">
        <f t="shared" si="61"/>
        <v>1</v>
      </c>
      <c r="N382" s="662"/>
      <c r="O382" s="21">
        <f t="shared" si="62"/>
        <v>1</v>
      </c>
      <c r="P382" s="662"/>
      <c r="Q382" s="21">
        <f t="shared" si="63"/>
        <v>0.06</v>
      </c>
      <c r="R382" s="659">
        <f t="shared" si="64"/>
        <v>0</v>
      </c>
      <c r="S382" s="316">
        <f t="shared" si="55"/>
        <v>0</v>
      </c>
    </row>
    <row r="383" spans="1:19">
      <c r="A383" s="150"/>
      <c r="B383" s="54"/>
      <c r="C383" s="21">
        <f t="shared" si="56"/>
        <v>1</v>
      </c>
      <c r="D383" s="662"/>
      <c r="E383" s="21">
        <f t="shared" si="57"/>
        <v>1</v>
      </c>
      <c r="F383" s="662"/>
      <c r="G383" s="21">
        <f t="shared" si="58"/>
        <v>1</v>
      </c>
      <c r="H383" s="662"/>
      <c r="I383" s="21">
        <f t="shared" si="59"/>
        <v>1</v>
      </c>
      <c r="J383" s="662"/>
      <c r="K383" s="21">
        <f t="shared" si="60"/>
        <v>1</v>
      </c>
      <c r="L383" s="662"/>
      <c r="M383" s="21">
        <f t="shared" si="61"/>
        <v>1</v>
      </c>
      <c r="N383" s="662"/>
      <c r="O383" s="21">
        <f t="shared" si="62"/>
        <v>1</v>
      </c>
      <c r="P383" s="662"/>
      <c r="Q383" s="21">
        <f t="shared" si="63"/>
        <v>0.06</v>
      </c>
      <c r="R383" s="659">
        <f t="shared" si="64"/>
        <v>0</v>
      </c>
      <c r="S383" s="316">
        <f t="shared" si="55"/>
        <v>0</v>
      </c>
    </row>
    <row r="384" spans="1:19">
      <c r="A384" s="150"/>
      <c r="B384" s="54"/>
      <c r="C384" s="21">
        <f t="shared" si="56"/>
        <v>1</v>
      </c>
      <c r="D384" s="662"/>
      <c r="E384" s="21">
        <f t="shared" si="57"/>
        <v>1</v>
      </c>
      <c r="F384" s="662"/>
      <c r="G384" s="21">
        <f t="shared" si="58"/>
        <v>1</v>
      </c>
      <c r="H384" s="662"/>
      <c r="I384" s="21">
        <f t="shared" si="59"/>
        <v>1</v>
      </c>
      <c r="J384" s="662"/>
      <c r="K384" s="21">
        <f t="shared" si="60"/>
        <v>1</v>
      </c>
      <c r="L384" s="662"/>
      <c r="M384" s="21">
        <f t="shared" si="61"/>
        <v>1</v>
      </c>
      <c r="N384" s="662"/>
      <c r="O384" s="21">
        <f t="shared" si="62"/>
        <v>1</v>
      </c>
      <c r="P384" s="662"/>
      <c r="Q384" s="21">
        <f t="shared" si="63"/>
        <v>0.06</v>
      </c>
      <c r="R384" s="659">
        <f t="shared" si="64"/>
        <v>0</v>
      </c>
      <c r="S384" s="316">
        <f t="shared" si="55"/>
        <v>0</v>
      </c>
    </row>
    <row r="385" spans="1:19">
      <c r="A385" s="150"/>
      <c r="B385" s="54"/>
      <c r="C385" s="21">
        <f t="shared" si="56"/>
        <v>1</v>
      </c>
      <c r="D385" s="662"/>
      <c r="E385" s="21">
        <f t="shared" si="57"/>
        <v>1</v>
      </c>
      <c r="F385" s="662"/>
      <c r="G385" s="21">
        <f t="shared" si="58"/>
        <v>1</v>
      </c>
      <c r="H385" s="662"/>
      <c r="I385" s="21">
        <f t="shared" si="59"/>
        <v>1</v>
      </c>
      <c r="J385" s="662"/>
      <c r="K385" s="21">
        <f t="shared" si="60"/>
        <v>1</v>
      </c>
      <c r="L385" s="662"/>
      <c r="M385" s="21">
        <f t="shared" si="61"/>
        <v>1</v>
      </c>
      <c r="N385" s="662"/>
      <c r="O385" s="21">
        <f t="shared" si="62"/>
        <v>1</v>
      </c>
      <c r="P385" s="662"/>
      <c r="Q385" s="21">
        <f t="shared" si="63"/>
        <v>0.06</v>
      </c>
      <c r="R385" s="659">
        <f t="shared" si="64"/>
        <v>0</v>
      </c>
      <c r="S385" s="316">
        <f t="shared" si="55"/>
        <v>0</v>
      </c>
    </row>
    <row r="386" spans="1:19">
      <c r="A386" s="150"/>
      <c r="B386" s="54"/>
      <c r="C386" s="21">
        <f t="shared" si="56"/>
        <v>1</v>
      </c>
      <c r="D386" s="662"/>
      <c r="E386" s="21">
        <f t="shared" si="57"/>
        <v>1</v>
      </c>
      <c r="F386" s="662"/>
      <c r="G386" s="21">
        <f t="shared" si="58"/>
        <v>1</v>
      </c>
      <c r="H386" s="662"/>
      <c r="I386" s="21">
        <f t="shared" si="59"/>
        <v>1</v>
      </c>
      <c r="J386" s="662"/>
      <c r="K386" s="21">
        <f t="shared" si="60"/>
        <v>1</v>
      </c>
      <c r="L386" s="662"/>
      <c r="M386" s="21">
        <f t="shared" si="61"/>
        <v>1</v>
      </c>
      <c r="N386" s="662"/>
      <c r="O386" s="21">
        <f t="shared" si="62"/>
        <v>1</v>
      </c>
      <c r="P386" s="662"/>
      <c r="Q386" s="21">
        <f t="shared" si="63"/>
        <v>0.06</v>
      </c>
      <c r="R386" s="659">
        <f t="shared" si="64"/>
        <v>0</v>
      </c>
      <c r="S386" s="316">
        <f t="shared" si="55"/>
        <v>0</v>
      </c>
    </row>
    <row r="387" spans="1:19">
      <c r="A387" s="150"/>
      <c r="B387" s="54"/>
      <c r="C387" s="21">
        <f t="shared" si="56"/>
        <v>1</v>
      </c>
      <c r="D387" s="662"/>
      <c r="E387" s="21">
        <f t="shared" si="57"/>
        <v>1</v>
      </c>
      <c r="F387" s="662"/>
      <c r="G387" s="21">
        <f t="shared" si="58"/>
        <v>1</v>
      </c>
      <c r="H387" s="662"/>
      <c r="I387" s="21">
        <f t="shared" si="59"/>
        <v>1</v>
      </c>
      <c r="J387" s="662"/>
      <c r="K387" s="21">
        <f t="shared" si="60"/>
        <v>1</v>
      </c>
      <c r="L387" s="662"/>
      <c r="M387" s="21">
        <f t="shared" si="61"/>
        <v>1</v>
      </c>
      <c r="N387" s="662"/>
      <c r="O387" s="21">
        <f t="shared" si="62"/>
        <v>1</v>
      </c>
      <c r="P387" s="662"/>
      <c r="Q387" s="21">
        <f t="shared" si="63"/>
        <v>0.06</v>
      </c>
      <c r="R387" s="659">
        <f t="shared" si="64"/>
        <v>0</v>
      </c>
      <c r="S387" s="316">
        <f t="shared" si="55"/>
        <v>0</v>
      </c>
    </row>
    <row r="388" spans="1:19">
      <c r="A388" s="150"/>
      <c r="B388" s="54"/>
      <c r="C388" s="21">
        <f t="shared" si="56"/>
        <v>1</v>
      </c>
      <c r="D388" s="662"/>
      <c r="E388" s="21">
        <f t="shared" si="57"/>
        <v>1</v>
      </c>
      <c r="F388" s="662"/>
      <c r="G388" s="21">
        <f t="shared" si="58"/>
        <v>1</v>
      </c>
      <c r="H388" s="662"/>
      <c r="I388" s="21">
        <f t="shared" si="59"/>
        <v>1</v>
      </c>
      <c r="J388" s="662"/>
      <c r="K388" s="21">
        <f t="shared" si="60"/>
        <v>1</v>
      </c>
      <c r="L388" s="662"/>
      <c r="M388" s="21">
        <f t="shared" si="61"/>
        <v>1</v>
      </c>
      <c r="N388" s="662"/>
      <c r="O388" s="21">
        <f t="shared" si="62"/>
        <v>1</v>
      </c>
      <c r="P388" s="662"/>
      <c r="Q388" s="21">
        <f t="shared" si="63"/>
        <v>0.06</v>
      </c>
      <c r="R388" s="659">
        <f t="shared" si="64"/>
        <v>0</v>
      </c>
      <c r="S388" s="316">
        <f t="shared" si="55"/>
        <v>0</v>
      </c>
    </row>
    <row r="389" spans="1:19">
      <c r="A389" s="150"/>
      <c r="B389" s="54"/>
      <c r="C389" s="21">
        <f t="shared" si="56"/>
        <v>1</v>
      </c>
      <c r="D389" s="662"/>
      <c r="E389" s="21">
        <f t="shared" si="57"/>
        <v>1</v>
      </c>
      <c r="F389" s="662"/>
      <c r="G389" s="21">
        <f t="shared" si="58"/>
        <v>1</v>
      </c>
      <c r="H389" s="662"/>
      <c r="I389" s="21">
        <f t="shared" si="59"/>
        <v>1</v>
      </c>
      <c r="J389" s="662"/>
      <c r="K389" s="21">
        <f t="shared" si="60"/>
        <v>1</v>
      </c>
      <c r="L389" s="662"/>
      <c r="M389" s="21">
        <f t="shared" si="61"/>
        <v>1</v>
      </c>
      <c r="N389" s="662"/>
      <c r="O389" s="21">
        <f t="shared" si="62"/>
        <v>1</v>
      </c>
      <c r="P389" s="662"/>
      <c r="Q389" s="21">
        <f t="shared" si="63"/>
        <v>0.06</v>
      </c>
      <c r="R389" s="659">
        <f t="shared" si="64"/>
        <v>0</v>
      </c>
      <c r="S389" s="316">
        <f t="shared" si="55"/>
        <v>0</v>
      </c>
    </row>
    <row r="390" spans="1:19">
      <c r="A390" s="150"/>
      <c r="B390" s="54"/>
      <c r="C390" s="21">
        <f t="shared" si="56"/>
        <v>1</v>
      </c>
      <c r="D390" s="662"/>
      <c r="E390" s="21">
        <f t="shared" si="57"/>
        <v>1</v>
      </c>
      <c r="F390" s="662"/>
      <c r="G390" s="21">
        <f t="shared" si="58"/>
        <v>1</v>
      </c>
      <c r="H390" s="662"/>
      <c r="I390" s="21">
        <f t="shared" si="59"/>
        <v>1</v>
      </c>
      <c r="J390" s="662"/>
      <c r="K390" s="21">
        <f t="shared" si="60"/>
        <v>1</v>
      </c>
      <c r="L390" s="662"/>
      <c r="M390" s="21">
        <f t="shared" si="61"/>
        <v>1</v>
      </c>
      <c r="N390" s="662"/>
      <c r="O390" s="21">
        <f t="shared" si="62"/>
        <v>1</v>
      </c>
      <c r="P390" s="662"/>
      <c r="Q390" s="21">
        <f t="shared" si="63"/>
        <v>0.06</v>
      </c>
      <c r="R390" s="659">
        <f t="shared" si="64"/>
        <v>0</v>
      </c>
      <c r="S390" s="316">
        <f t="shared" si="55"/>
        <v>0</v>
      </c>
    </row>
    <row r="391" spans="1:19">
      <c r="A391" s="150"/>
      <c r="B391" s="54"/>
      <c r="C391" s="21">
        <f t="shared" si="56"/>
        <v>1</v>
      </c>
      <c r="D391" s="662"/>
      <c r="E391" s="21">
        <f t="shared" si="57"/>
        <v>1</v>
      </c>
      <c r="F391" s="662"/>
      <c r="G391" s="21">
        <f t="shared" si="58"/>
        <v>1</v>
      </c>
      <c r="H391" s="662"/>
      <c r="I391" s="21">
        <f t="shared" si="59"/>
        <v>1</v>
      </c>
      <c r="J391" s="662"/>
      <c r="K391" s="21">
        <f t="shared" si="60"/>
        <v>1</v>
      </c>
      <c r="L391" s="662"/>
      <c r="M391" s="21">
        <f t="shared" si="61"/>
        <v>1</v>
      </c>
      <c r="N391" s="662"/>
      <c r="O391" s="21">
        <f t="shared" si="62"/>
        <v>1</v>
      </c>
      <c r="P391" s="662"/>
      <c r="Q391" s="21">
        <f t="shared" si="63"/>
        <v>0.06</v>
      </c>
      <c r="R391" s="659">
        <f t="shared" si="64"/>
        <v>0</v>
      </c>
      <c r="S391" s="316">
        <f t="shared" si="55"/>
        <v>0</v>
      </c>
    </row>
    <row r="392" spans="1:19">
      <c r="A392" s="150"/>
      <c r="B392" s="54"/>
      <c r="C392" s="21">
        <f t="shared" si="56"/>
        <v>1</v>
      </c>
      <c r="D392" s="662"/>
      <c r="E392" s="21">
        <f t="shared" si="57"/>
        <v>1</v>
      </c>
      <c r="F392" s="662"/>
      <c r="G392" s="21">
        <f t="shared" si="58"/>
        <v>1</v>
      </c>
      <c r="H392" s="662"/>
      <c r="I392" s="21">
        <f t="shared" si="59"/>
        <v>1</v>
      </c>
      <c r="J392" s="662"/>
      <c r="K392" s="21">
        <f t="shared" si="60"/>
        <v>1</v>
      </c>
      <c r="L392" s="662"/>
      <c r="M392" s="21">
        <f t="shared" si="61"/>
        <v>1</v>
      </c>
      <c r="N392" s="662"/>
      <c r="O392" s="21">
        <f t="shared" si="62"/>
        <v>1</v>
      </c>
      <c r="P392" s="662"/>
      <c r="Q392" s="21">
        <f t="shared" si="63"/>
        <v>0.06</v>
      </c>
      <c r="R392" s="659">
        <f t="shared" si="64"/>
        <v>0</v>
      </c>
      <c r="S392" s="316">
        <f t="shared" si="55"/>
        <v>0</v>
      </c>
    </row>
    <row r="393" spans="1:19">
      <c r="A393" s="150"/>
      <c r="B393" s="54"/>
      <c r="C393" s="21">
        <f t="shared" si="56"/>
        <v>1</v>
      </c>
      <c r="D393" s="662"/>
      <c r="E393" s="21">
        <f t="shared" si="57"/>
        <v>1</v>
      </c>
      <c r="F393" s="662"/>
      <c r="G393" s="21">
        <f t="shared" si="58"/>
        <v>1</v>
      </c>
      <c r="H393" s="662"/>
      <c r="I393" s="21">
        <f t="shared" si="59"/>
        <v>1</v>
      </c>
      <c r="J393" s="662"/>
      <c r="K393" s="21">
        <f t="shared" si="60"/>
        <v>1</v>
      </c>
      <c r="L393" s="662"/>
      <c r="M393" s="21">
        <f t="shared" si="61"/>
        <v>1</v>
      </c>
      <c r="N393" s="662"/>
      <c r="O393" s="21">
        <f t="shared" si="62"/>
        <v>1</v>
      </c>
      <c r="P393" s="662"/>
      <c r="Q393" s="21">
        <f t="shared" si="63"/>
        <v>0.06</v>
      </c>
      <c r="R393" s="659">
        <f t="shared" si="64"/>
        <v>0</v>
      </c>
      <c r="S393" s="316">
        <f t="shared" si="55"/>
        <v>0</v>
      </c>
    </row>
    <row r="394" spans="1:19">
      <c r="A394" s="150"/>
      <c r="B394" s="54"/>
      <c r="C394" s="21">
        <f t="shared" si="56"/>
        <v>1</v>
      </c>
      <c r="D394" s="662"/>
      <c r="E394" s="21">
        <f t="shared" si="57"/>
        <v>1</v>
      </c>
      <c r="F394" s="662"/>
      <c r="G394" s="21">
        <f t="shared" si="58"/>
        <v>1</v>
      </c>
      <c r="H394" s="662"/>
      <c r="I394" s="21">
        <f t="shared" si="59"/>
        <v>1</v>
      </c>
      <c r="J394" s="662"/>
      <c r="K394" s="21">
        <f t="shared" si="60"/>
        <v>1</v>
      </c>
      <c r="L394" s="662"/>
      <c r="M394" s="21">
        <f t="shared" si="61"/>
        <v>1</v>
      </c>
      <c r="N394" s="662"/>
      <c r="O394" s="21">
        <f t="shared" si="62"/>
        <v>1</v>
      </c>
      <c r="P394" s="662"/>
      <c r="Q394" s="21">
        <f t="shared" si="63"/>
        <v>0.06</v>
      </c>
      <c r="R394" s="659">
        <f t="shared" si="64"/>
        <v>0</v>
      </c>
      <c r="S394" s="316">
        <f t="shared" si="55"/>
        <v>0</v>
      </c>
    </row>
    <row r="395" spans="1:19">
      <c r="A395" s="150"/>
      <c r="B395" s="54"/>
      <c r="C395" s="21">
        <f t="shared" si="56"/>
        <v>1</v>
      </c>
      <c r="D395" s="662"/>
      <c r="E395" s="21">
        <f t="shared" si="57"/>
        <v>1</v>
      </c>
      <c r="F395" s="662"/>
      <c r="G395" s="21">
        <f t="shared" si="58"/>
        <v>1</v>
      </c>
      <c r="H395" s="662"/>
      <c r="I395" s="21">
        <f t="shared" si="59"/>
        <v>1</v>
      </c>
      <c r="J395" s="662"/>
      <c r="K395" s="21">
        <f t="shared" si="60"/>
        <v>1</v>
      </c>
      <c r="L395" s="662"/>
      <c r="M395" s="21">
        <f t="shared" si="61"/>
        <v>1</v>
      </c>
      <c r="N395" s="662"/>
      <c r="O395" s="21">
        <f t="shared" si="62"/>
        <v>1</v>
      </c>
      <c r="P395" s="662"/>
      <c r="Q395" s="21">
        <f t="shared" si="63"/>
        <v>0.06</v>
      </c>
      <c r="R395" s="659">
        <f t="shared" si="64"/>
        <v>0</v>
      </c>
      <c r="S395" s="316">
        <f t="shared" si="55"/>
        <v>0</v>
      </c>
    </row>
    <row r="396" spans="1:19">
      <c r="A396" s="150"/>
      <c r="B396" s="54"/>
      <c r="C396" s="21">
        <f t="shared" si="56"/>
        <v>1</v>
      </c>
      <c r="D396" s="662"/>
      <c r="E396" s="21">
        <f t="shared" si="57"/>
        <v>1</v>
      </c>
      <c r="F396" s="662"/>
      <c r="G396" s="21">
        <f t="shared" si="58"/>
        <v>1</v>
      </c>
      <c r="H396" s="662"/>
      <c r="I396" s="21">
        <f t="shared" si="59"/>
        <v>1</v>
      </c>
      <c r="J396" s="662"/>
      <c r="K396" s="21">
        <f t="shared" si="60"/>
        <v>1</v>
      </c>
      <c r="L396" s="662"/>
      <c r="M396" s="21">
        <f t="shared" si="61"/>
        <v>1</v>
      </c>
      <c r="N396" s="662"/>
      <c r="O396" s="21">
        <f t="shared" si="62"/>
        <v>1</v>
      </c>
      <c r="P396" s="662"/>
      <c r="Q396" s="21">
        <f t="shared" si="63"/>
        <v>0.06</v>
      </c>
      <c r="R396" s="659">
        <f t="shared" si="64"/>
        <v>0</v>
      </c>
      <c r="S396" s="316">
        <f t="shared" si="55"/>
        <v>0</v>
      </c>
    </row>
    <row r="397" spans="1:19">
      <c r="A397" s="150"/>
      <c r="B397" s="54"/>
      <c r="C397" s="21">
        <f t="shared" si="56"/>
        <v>1</v>
      </c>
      <c r="D397" s="662"/>
      <c r="E397" s="21">
        <f t="shared" si="57"/>
        <v>1</v>
      </c>
      <c r="F397" s="662"/>
      <c r="G397" s="21">
        <f t="shared" si="58"/>
        <v>1</v>
      </c>
      <c r="H397" s="662"/>
      <c r="I397" s="21">
        <f t="shared" si="59"/>
        <v>1</v>
      </c>
      <c r="J397" s="662"/>
      <c r="K397" s="21">
        <f t="shared" si="60"/>
        <v>1</v>
      </c>
      <c r="L397" s="662"/>
      <c r="M397" s="21">
        <f t="shared" si="61"/>
        <v>1</v>
      </c>
      <c r="N397" s="662"/>
      <c r="O397" s="21">
        <f t="shared" si="62"/>
        <v>1</v>
      </c>
      <c r="P397" s="662"/>
      <c r="Q397" s="21">
        <f t="shared" si="63"/>
        <v>0.06</v>
      </c>
      <c r="R397" s="659">
        <f t="shared" si="64"/>
        <v>0</v>
      </c>
      <c r="S397" s="316">
        <f t="shared" si="55"/>
        <v>0</v>
      </c>
    </row>
    <row r="398" spans="1:19">
      <c r="A398" s="150"/>
      <c r="B398" s="54"/>
      <c r="C398" s="21">
        <f t="shared" si="56"/>
        <v>1</v>
      </c>
      <c r="D398" s="662"/>
      <c r="E398" s="21">
        <f t="shared" si="57"/>
        <v>1</v>
      </c>
      <c r="F398" s="662"/>
      <c r="G398" s="21">
        <f t="shared" si="58"/>
        <v>1</v>
      </c>
      <c r="H398" s="662"/>
      <c r="I398" s="21">
        <f t="shared" si="59"/>
        <v>1</v>
      </c>
      <c r="J398" s="662"/>
      <c r="K398" s="21">
        <f t="shared" si="60"/>
        <v>1</v>
      </c>
      <c r="L398" s="662"/>
      <c r="M398" s="21">
        <f t="shared" si="61"/>
        <v>1</v>
      </c>
      <c r="N398" s="662"/>
      <c r="O398" s="21">
        <f t="shared" si="62"/>
        <v>1</v>
      </c>
      <c r="P398" s="662"/>
      <c r="Q398" s="21">
        <f t="shared" si="63"/>
        <v>0.06</v>
      </c>
      <c r="R398" s="659">
        <f t="shared" si="64"/>
        <v>0</v>
      </c>
      <c r="S398" s="316">
        <f t="shared" si="55"/>
        <v>0</v>
      </c>
    </row>
    <row r="399" spans="1:19">
      <c r="A399" s="150"/>
      <c r="B399" s="54"/>
      <c r="C399" s="21">
        <f t="shared" si="56"/>
        <v>1</v>
      </c>
      <c r="D399" s="662"/>
      <c r="E399" s="21">
        <f t="shared" si="57"/>
        <v>1</v>
      </c>
      <c r="F399" s="662"/>
      <c r="G399" s="21">
        <f t="shared" si="58"/>
        <v>1</v>
      </c>
      <c r="H399" s="662"/>
      <c r="I399" s="21">
        <f t="shared" si="59"/>
        <v>1</v>
      </c>
      <c r="J399" s="662"/>
      <c r="K399" s="21">
        <f t="shared" si="60"/>
        <v>1</v>
      </c>
      <c r="L399" s="662"/>
      <c r="M399" s="21">
        <f t="shared" si="61"/>
        <v>1</v>
      </c>
      <c r="N399" s="662"/>
      <c r="O399" s="21">
        <f t="shared" si="62"/>
        <v>1</v>
      </c>
      <c r="P399" s="662"/>
      <c r="Q399" s="21">
        <f t="shared" si="63"/>
        <v>0.06</v>
      </c>
      <c r="R399" s="659">
        <f t="shared" si="64"/>
        <v>0</v>
      </c>
      <c r="S399" s="316">
        <f t="shared" si="55"/>
        <v>0</v>
      </c>
    </row>
    <row r="400" spans="1:19">
      <c r="A400" s="150"/>
      <c r="B400" s="54"/>
      <c r="C400" s="21">
        <f t="shared" si="56"/>
        <v>1</v>
      </c>
      <c r="D400" s="662"/>
      <c r="E400" s="21">
        <f t="shared" si="57"/>
        <v>1</v>
      </c>
      <c r="F400" s="662"/>
      <c r="G400" s="21">
        <f t="shared" si="58"/>
        <v>1</v>
      </c>
      <c r="H400" s="662"/>
      <c r="I400" s="21">
        <f t="shared" si="59"/>
        <v>1</v>
      </c>
      <c r="J400" s="662"/>
      <c r="K400" s="21">
        <f t="shared" si="60"/>
        <v>1</v>
      </c>
      <c r="L400" s="662"/>
      <c r="M400" s="21">
        <f t="shared" si="61"/>
        <v>1</v>
      </c>
      <c r="N400" s="662"/>
      <c r="O400" s="21">
        <f t="shared" si="62"/>
        <v>1</v>
      </c>
      <c r="P400" s="662"/>
      <c r="Q400" s="21">
        <f t="shared" si="63"/>
        <v>0.06</v>
      </c>
      <c r="R400" s="659">
        <f t="shared" si="64"/>
        <v>0</v>
      </c>
      <c r="S400" s="316">
        <f t="shared" si="55"/>
        <v>0</v>
      </c>
    </row>
    <row r="401" spans="1:19">
      <c r="A401" s="150"/>
      <c r="B401" s="54"/>
      <c r="C401" s="21">
        <f t="shared" si="56"/>
        <v>1</v>
      </c>
      <c r="D401" s="662"/>
      <c r="E401" s="21">
        <f t="shared" si="57"/>
        <v>1</v>
      </c>
      <c r="F401" s="662"/>
      <c r="G401" s="21">
        <f t="shared" si="58"/>
        <v>1</v>
      </c>
      <c r="H401" s="662"/>
      <c r="I401" s="21">
        <f t="shared" si="59"/>
        <v>1</v>
      </c>
      <c r="J401" s="662"/>
      <c r="K401" s="21">
        <f t="shared" si="60"/>
        <v>1</v>
      </c>
      <c r="L401" s="662"/>
      <c r="M401" s="21">
        <f t="shared" si="61"/>
        <v>1</v>
      </c>
      <c r="N401" s="662"/>
      <c r="O401" s="21">
        <f t="shared" si="62"/>
        <v>1</v>
      </c>
      <c r="P401" s="662"/>
      <c r="Q401" s="21">
        <f t="shared" si="63"/>
        <v>0.06</v>
      </c>
      <c r="R401" s="659">
        <f t="shared" si="64"/>
        <v>0</v>
      </c>
      <c r="S401" s="316">
        <f t="shared" si="55"/>
        <v>0</v>
      </c>
    </row>
    <row r="402" spans="1:19">
      <c r="A402" s="150"/>
      <c r="B402" s="54"/>
      <c r="C402" s="21">
        <f t="shared" si="56"/>
        <v>1</v>
      </c>
      <c r="D402" s="662"/>
      <c r="E402" s="21">
        <f t="shared" si="57"/>
        <v>1</v>
      </c>
      <c r="F402" s="662"/>
      <c r="G402" s="21">
        <f t="shared" si="58"/>
        <v>1</v>
      </c>
      <c r="H402" s="662"/>
      <c r="I402" s="21">
        <f t="shared" si="59"/>
        <v>1</v>
      </c>
      <c r="J402" s="662"/>
      <c r="K402" s="21">
        <f t="shared" si="60"/>
        <v>1</v>
      </c>
      <c r="L402" s="662"/>
      <c r="M402" s="21">
        <f t="shared" si="61"/>
        <v>1</v>
      </c>
      <c r="N402" s="662"/>
      <c r="O402" s="21">
        <f t="shared" si="62"/>
        <v>1</v>
      </c>
      <c r="P402" s="662"/>
      <c r="Q402" s="21">
        <f t="shared" si="63"/>
        <v>0.06</v>
      </c>
      <c r="R402" s="659">
        <f t="shared" si="64"/>
        <v>0</v>
      </c>
      <c r="S402" s="316">
        <f t="shared" si="55"/>
        <v>0</v>
      </c>
    </row>
    <row r="403" spans="1:19">
      <c r="A403" s="150"/>
      <c r="B403" s="54"/>
      <c r="C403" s="21">
        <f t="shared" si="56"/>
        <v>1</v>
      </c>
      <c r="D403" s="662"/>
      <c r="E403" s="21">
        <f t="shared" si="57"/>
        <v>1</v>
      </c>
      <c r="F403" s="662"/>
      <c r="G403" s="21">
        <f t="shared" si="58"/>
        <v>1</v>
      </c>
      <c r="H403" s="662"/>
      <c r="I403" s="21">
        <f t="shared" si="59"/>
        <v>1</v>
      </c>
      <c r="J403" s="662"/>
      <c r="K403" s="21">
        <f t="shared" si="60"/>
        <v>1</v>
      </c>
      <c r="L403" s="662"/>
      <c r="M403" s="21">
        <f t="shared" si="61"/>
        <v>1</v>
      </c>
      <c r="N403" s="662"/>
      <c r="O403" s="21">
        <f t="shared" si="62"/>
        <v>1</v>
      </c>
      <c r="P403" s="662"/>
      <c r="Q403" s="21">
        <f t="shared" si="63"/>
        <v>0.06</v>
      </c>
      <c r="R403" s="659">
        <f t="shared" si="64"/>
        <v>0</v>
      </c>
      <c r="S403" s="316">
        <f t="shared" si="55"/>
        <v>0</v>
      </c>
    </row>
    <row r="404" spans="1:19">
      <c r="A404" s="150"/>
      <c r="B404" s="54"/>
      <c r="C404" s="21">
        <f t="shared" si="56"/>
        <v>1</v>
      </c>
      <c r="D404" s="662"/>
      <c r="E404" s="21">
        <f t="shared" si="57"/>
        <v>1</v>
      </c>
      <c r="F404" s="662"/>
      <c r="G404" s="21">
        <f t="shared" si="58"/>
        <v>1</v>
      </c>
      <c r="H404" s="662"/>
      <c r="I404" s="21">
        <f t="shared" si="59"/>
        <v>1</v>
      </c>
      <c r="J404" s="662"/>
      <c r="K404" s="21">
        <f t="shared" si="60"/>
        <v>1</v>
      </c>
      <c r="L404" s="662"/>
      <c r="M404" s="21">
        <f t="shared" si="61"/>
        <v>1</v>
      </c>
      <c r="N404" s="662"/>
      <c r="O404" s="21">
        <f t="shared" si="62"/>
        <v>1</v>
      </c>
      <c r="P404" s="662"/>
      <c r="Q404" s="21">
        <f t="shared" si="63"/>
        <v>0.06</v>
      </c>
      <c r="R404" s="659">
        <f t="shared" si="64"/>
        <v>0</v>
      </c>
      <c r="S404" s="316">
        <f t="shared" si="55"/>
        <v>0</v>
      </c>
    </row>
    <row r="405" spans="1:19">
      <c r="A405" s="150"/>
      <c r="B405" s="54"/>
      <c r="C405" s="21">
        <f t="shared" si="56"/>
        <v>1</v>
      </c>
      <c r="D405" s="662"/>
      <c r="E405" s="21">
        <f t="shared" si="57"/>
        <v>1</v>
      </c>
      <c r="F405" s="662"/>
      <c r="G405" s="21">
        <f t="shared" si="58"/>
        <v>1</v>
      </c>
      <c r="H405" s="662"/>
      <c r="I405" s="21">
        <f t="shared" si="59"/>
        <v>1</v>
      </c>
      <c r="J405" s="662"/>
      <c r="K405" s="21">
        <f t="shared" si="60"/>
        <v>1</v>
      </c>
      <c r="L405" s="662"/>
      <c r="M405" s="21">
        <f t="shared" si="61"/>
        <v>1</v>
      </c>
      <c r="N405" s="662"/>
      <c r="O405" s="21">
        <f t="shared" si="62"/>
        <v>1</v>
      </c>
      <c r="P405" s="662"/>
      <c r="Q405" s="21">
        <f t="shared" si="63"/>
        <v>0.06</v>
      </c>
      <c r="R405" s="659">
        <f t="shared" si="64"/>
        <v>0</v>
      </c>
      <c r="S405" s="316">
        <f t="shared" si="55"/>
        <v>0</v>
      </c>
    </row>
    <row r="406" spans="1:19">
      <c r="A406" s="150"/>
      <c r="B406" s="54"/>
      <c r="C406" s="21">
        <f t="shared" si="56"/>
        <v>1</v>
      </c>
      <c r="D406" s="662"/>
      <c r="E406" s="21">
        <f t="shared" si="57"/>
        <v>1</v>
      </c>
      <c r="F406" s="662"/>
      <c r="G406" s="21">
        <f t="shared" si="58"/>
        <v>1</v>
      </c>
      <c r="H406" s="662"/>
      <c r="I406" s="21">
        <f t="shared" si="59"/>
        <v>1</v>
      </c>
      <c r="J406" s="662"/>
      <c r="K406" s="21">
        <f t="shared" si="60"/>
        <v>1</v>
      </c>
      <c r="L406" s="662"/>
      <c r="M406" s="21">
        <f t="shared" si="61"/>
        <v>1</v>
      </c>
      <c r="N406" s="662"/>
      <c r="O406" s="21">
        <f t="shared" si="62"/>
        <v>1</v>
      </c>
      <c r="P406" s="662"/>
      <c r="Q406" s="21">
        <f t="shared" si="63"/>
        <v>0.06</v>
      </c>
      <c r="R406" s="659">
        <f t="shared" si="64"/>
        <v>0</v>
      </c>
      <c r="S406" s="316">
        <f t="shared" si="55"/>
        <v>0</v>
      </c>
    </row>
    <row r="407" spans="1:19">
      <c r="A407" s="150"/>
      <c r="B407" s="54"/>
      <c r="C407" s="21">
        <f t="shared" si="56"/>
        <v>1</v>
      </c>
      <c r="D407" s="662"/>
      <c r="E407" s="21">
        <f t="shared" si="57"/>
        <v>1</v>
      </c>
      <c r="F407" s="662"/>
      <c r="G407" s="21">
        <f t="shared" si="58"/>
        <v>1</v>
      </c>
      <c r="H407" s="662"/>
      <c r="I407" s="21">
        <f t="shared" si="59"/>
        <v>1</v>
      </c>
      <c r="J407" s="662"/>
      <c r="K407" s="21">
        <f t="shared" si="60"/>
        <v>1</v>
      </c>
      <c r="L407" s="662"/>
      <c r="M407" s="21">
        <f t="shared" si="61"/>
        <v>1</v>
      </c>
      <c r="N407" s="662"/>
      <c r="O407" s="21">
        <f t="shared" si="62"/>
        <v>1</v>
      </c>
      <c r="P407" s="662"/>
      <c r="Q407" s="21">
        <f t="shared" si="63"/>
        <v>0.06</v>
      </c>
      <c r="R407" s="659">
        <f t="shared" si="64"/>
        <v>0</v>
      </c>
      <c r="S407" s="316">
        <f t="shared" si="55"/>
        <v>0</v>
      </c>
    </row>
    <row r="408" spans="1:19">
      <c r="A408" s="150"/>
      <c r="B408" s="54"/>
      <c r="C408" s="21">
        <f t="shared" si="56"/>
        <v>1</v>
      </c>
      <c r="D408" s="662"/>
      <c r="E408" s="21">
        <f t="shared" si="57"/>
        <v>1</v>
      </c>
      <c r="F408" s="662"/>
      <c r="G408" s="21">
        <f t="shared" si="58"/>
        <v>1</v>
      </c>
      <c r="H408" s="662"/>
      <c r="I408" s="21">
        <f t="shared" si="59"/>
        <v>1</v>
      </c>
      <c r="J408" s="662"/>
      <c r="K408" s="21">
        <f t="shared" si="60"/>
        <v>1</v>
      </c>
      <c r="L408" s="662"/>
      <c r="M408" s="21">
        <f t="shared" si="61"/>
        <v>1</v>
      </c>
      <c r="N408" s="662"/>
      <c r="O408" s="21">
        <f t="shared" si="62"/>
        <v>1</v>
      </c>
      <c r="P408" s="662"/>
      <c r="Q408" s="21">
        <f t="shared" si="63"/>
        <v>0.06</v>
      </c>
      <c r="R408" s="659">
        <f t="shared" si="64"/>
        <v>0</v>
      </c>
      <c r="S408" s="316">
        <f t="shared" ref="S408:S471" si="65">ROUND(R408*B408/10000,0)</f>
        <v>0</v>
      </c>
    </row>
    <row r="409" spans="1:19">
      <c r="A409" s="150"/>
      <c r="B409" s="54"/>
      <c r="C409" s="21">
        <f t="shared" si="56"/>
        <v>1</v>
      </c>
      <c r="D409" s="662"/>
      <c r="E409" s="21">
        <f t="shared" si="57"/>
        <v>1</v>
      </c>
      <c r="F409" s="662"/>
      <c r="G409" s="21">
        <f t="shared" si="58"/>
        <v>1</v>
      </c>
      <c r="H409" s="662"/>
      <c r="I409" s="21">
        <f t="shared" si="59"/>
        <v>1</v>
      </c>
      <c r="J409" s="662"/>
      <c r="K409" s="21">
        <f t="shared" si="60"/>
        <v>1</v>
      </c>
      <c r="L409" s="662"/>
      <c r="M409" s="21">
        <f t="shared" si="61"/>
        <v>1</v>
      </c>
      <c r="N409" s="662"/>
      <c r="O409" s="21">
        <f t="shared" si="62"/>
        <v>1</v>
      </c>
      <c r="P409" s="662"/>
      <c r="Q409" s="21">
        <f t="shared" si="63"/>
        <v>0.06</v>
      </c>
      <c r="R409" s="659">
        <f t="shared" si="64"/>
        <v>0</v>
      </c>
      <c r="S409" s="316">
        <f t="shared" si="65"/>
        <v>0</v>
      </c>
    </row>
    <row r="410" spans="1:19">
      <c r="A410" s="150"/>
      <c r="B410" s="54"/>
      <c r="C410" s="21">
        <f t="shared" ref="C410:C473" si="66">IF(B410="",1,(LOOKUP(B410,$3:$3,$4:$4)-LOOKUP($B$24,$3:$3,$4:$4)+100)/100)</f>
        <v>1</v>
      </c>
      <c r="D410" s="662"/>
      <c r="E410" s="21">
        <f t="shared" ref="E410:E473" si="67">(SUMIF($5:$5,D410,$6:$6)-SUMIF($5:$5,$D$24,$6:$6)+100)/100</f>
        <v>1</v>
      </c>
      <c r="F410" s="662"/>
      <c r="G410" s="21">
        <f t="shared" ref="G410:G473" si="68">(SUMIF($7:$7,F410,$8:$8)-SUMIF($7:$7,$F$24,$8:$8)+100)/100</f>
        <v>1</v>
      </c>
      <c r="H410" s="662"/>
      <c r="I410" s="21">
        <f t="shared" ref="I410:I473" si="69">(SUMIF($9:$9,H410,$10:$10)-SUMIF($9:$9,$H$24,$10:$10)+100)/100</f>
        <v>1</v>
      </c>
      <c r="J410" s="662"/>
      <c r="K410" s="21">
        <f t="shared" ref="K410:K473" si="70">(SUMIF($11:$11,J410,$12:$12)-SUMIF($11:$11,$J$24,$12:$12)+100)/100</f>
        <v>1</v>
      </c>
      <c r="L410" s="662"/>
      <c r="M410" s="21">
        <f t="shared" ref="M410:M473" si="71">(SUMIF($13:$13,L410,$14:$14)-SUMIF($13:$13,$L$24,$14:$14)+100)/100</f>
        <v>1</v>
      </c>
      <c r="N410" s="662"/>
      <c r="O410" s="21">
        <f t="shared" ref="O410:O473" si="72">(SUMIF($15:$15,N410,$16:$16)-SUMIF($15:$15,$N$24,$16:$16)+100)/100</f>
        <v>1</v>
      </c>
      <c r="P410" s="662"/>
      <c r="Q410" s="21">
        <f t="shared" ref="Q410:Q473" si="73">(SUMIF($17:$17,P410,$18:$18)-SUMIF($17:$17,$P$24,$18:$18)+100)/100</f>
        <v>0.06</v>
      </c>
      <c r="R410" s="659">
        <f t="shared" ref="R410:R473" si="74">IF(B410="",0,ROUND($R$24*C410*E410*G410*I410*K410*M410*O410*Q410,0))</f>
        <v>0</v>
      </c>
      <c r="S410" s="316">
        <f t="shared" si="65"/>
        <v>0</v>
      </c>
    </row>
    <row r="411" spans="1:19">
      <c r="A411" s="150"/>
      <c r="B411" s="54"/>
      <c r="C411" s="21">
        <f t="shared" si="66"/>
        <v>1</v>
      </c>
      <c r="D411" s="662"/>
      <c r="E411" s="21">
        <f t="shared" si="67"/>
        <v>1</v>
      </c>
      <c r="F411" s="662"/>
      <c r="G411" s="21">
        <f t="shared" si="68"/>
        <v>1</v>
      </c>
      <c r="H411" s="662"/>
      <c r="I411" s="21">
        <f t="shared" si="69"/>
        <v>1</v>
      </c>
      <c r="J411" s="662"/>
      <c r="K411" s="21">
        <f t="shared" si="70"/>
        <v>1</v>
      </c>
      <c r="L411" s="662"/>
      <c r="M411" s="21">
        <f t="shared" si="71"/>
        <v>1</v>
      </c>
      <c r="N411" s="662"/>
      <c r="O411" s="21">
        <f t="shared" si="72"/>
        <v>1</v>
      </c>
      <c r="P411" s="662"/>
      <c r="Q411" s="21">
        <f t="shared" si="73"/>
        <v>0.06</v>
      </c>
      <c r="R411" s="659">
        <f t="shared" si="74"/>
        <v>0</v>
      </c>
      <c r="S411" s="316">
        <f t="shared" si="65"/>
        <v>0</v>
      </c>
    </row>
    <row r="412" spans="1:19">
      <c r="A412" s="150"/>
      <c r="B412" s="54"/>
      <c r="C412" s="21">
        <f t="shared" si="66"/>
        <v>1</v>
      </c>
      <c r="D412" s="662"/>
      <c r="E412" s="21">
        <f t="shared" si="67"/>
        <v>1</v>
      </c>
      <c r="F412" s="662"/>
      <c r="G412" s="21">
        <f t="shared" si="68"/>
        <v>1</v>
      </c>
      <c r="H412" s="662"/>
      <c r="I412" s="21">
        <f t="shared" si="69"/>
        <v>1</v>
      </c>
      <c r="J412" s="662"/>
      <c r="K412" s="21">
        <f t="shared" si="70"/>
        <v>1</v>
      </c>
      <c r="L412" s="662"/>
      <c r="M412" s="21">
        <f t="shared" si="71"/>
        <v>1</v>
      </c>
      <c r="N412" s="662"/>
      <c r="O412" s="21">
        <f t="shared" si="72"/>
        <v>1</v>
      </c>
      <c r="P412" s="662"/>
      <c r="Q412" s="21">
        <f t="shared" si="73"/>
        <v>0.06</v>
      </c>
      <c r="R412" s="659">
        <f t="shared" si="74"/>
        <v>0</v>
      </c>
      <c r="S412" s="316">
        <f t="shared" si="65"/>
        <v>0</v>
      </c>
    </row>
    <row r="413" spans="1:19">
      <c r="A413" s="150"/>
      <c r="B413" s="54"/>
      <c r="C413" s="21">
        <f t="shared" si="66"/>
        <v>1</v>
      </c>
      <c r="D413" s="662"/>
      <c r="E413" s="21">
        <f t="shared" si="67"/>
        <v>1</v>
      </c>
      <c r="F413" s="662"/>
      <c r="G413" s="21">
        <f t="shared" si="68"/>
        <v>1</v>
      </c>
      <c r="H413" s="662"/>
      <c r="I413" s="21">
        <f t="shared" si="69"/>
        <v>1</v>
      </c>
      <c r="J413" s="662"/>
      <c r="K413" s="21">
        <f t="shared" si="70"/>
        <v>1</v>
      </c>
      <c r="L413" s="662"/>
      <c r="M413" s="21">
        <f t="shared" si="71"/>
        <v>1</v>
      </c>
      <c r="N413" s="662"/>
      <c r="O413" s="21">
        <f t="shared" si="72"/>
        <v>1</v>
      </c>
      <c r="P413" s="662"/>
      <c r="Q413" s="21">
        <f t="shared" si="73"/>
        <v>0.06</v>
      </c>
      <c r="R413" s="659">
        <f t="shared" si="74"/>
        <v>0</v>
      </c>
      <c r="S413" s="316">
        <f t="shared" si="65"/>
        <v>0</v>
      </c>
    </row>
    <row r="414" spans="1:19">
      <c r="A414" s="150"/>
      <c r="B414" s="54"/>
      <c r="C414" s="21">
        <f t="shared" si="66"/>
        <v>1</v>
      </c>
      <c r="D414" s="662"/>
      <c r="E414" s="21">
        <f t="shared" si="67"/>
        <v>1</v>
      </c>
      <c r="F414" s="662"/>
      <c r="G414" s="21">
        <f t="shared" si="68"/>
        <v>1</v>
      </c>
      <c r="H414" s="662"/>
      <c r="I414" s="21">
        <f t="shared" si="69"/>
        <v>1</v>
      </c>
      <c r="J414" s="662"/>
      <c r="K414" s="21">
        <f t="shared" si="70"/>
        <v>1</v>
      </c>
      <c r="L414" s="662"/>
      <c r="M414" s="21">
        <f t="shared" si="71"/>
        <v>1</v>
      </c>
      <c r="N414" s="662"/>
      <c r="O414" s="21">
        <f t="shared" si="72"/>
        <v>1</v>
      </c>
      <c r="P414" s="662"/>
      <c r="Q414" s="21">
        <f t="shared" si="73"/>
        <v>0.06</v>
      </c>
      <c r="R414" s="659">
        <f t="shared" si="74"/>
        <v>0</v>
      </c>
      <c r="S414" s="316">
        <f t="shared" si="65"/>
        <v>0</v>
      </c>
    </row>
    <row r="415" spans="1:19">
      <c r="A415" s="150"/>
      <c r="B415" s="54"/>
      <c r="C415" s="21">
        <f t="shared" si="66"/>
        <v>1</v>
      </c>
      <c r="D415" s="662"/>
      <c r="E415" s="21">
        <f t="shared" si="67"/>
        <v>1</v>
      </c>
      <c r="F415" s="662"/>
      <c r="G415" s="21">
        <f t="shared" si="68"/>
        <v>1</v>
      </c>
      <c r="H415" s="662"/>
      <c r="I415" s="21">
        <f t="shared" si="69"/>
        <v>1</v>
      </c>
      <c r="J415" s="662"/>
      <c r="K415" s="21">
        <f t="shared" si="70"/>
        <v>1</v>
      </c>
      <c r="L415" s="662"/>
      <c r="M415" s="21">
        <f t="shared" si="71"/>
        <v>1</v>
      </c>
      <c r="N415" s="662"/>
      <c r="O415" s="21">
        <f t="shared" si="72"/>
        <v>1</v>
      </c>
      <c r="P415" s="662"/>
      <c r="Q415" s="21">
        <f t="shared" si="73"/>
        <v>0.06</v>
      </c>
      <c r="R415" s="659">
        <f t="shared" si="74"/>
        <v>0</v>
      </c>
      <c r="S415" s="316">
        <f t="shared" si="65"/>
        <v>0</v>
      </c>
    </row>
    <row r="416" spans="1:19">
      <c r="A416" s="150"/>
      <c r="B416" s="54"/>
      <c r="C416" s="21">
        <f t="shared" si="66"/>
        <v>1</v>
      </c>
      <c r="D416" s="662"/>
      <c r="E416" s="21">
        <f t="shared" si="67"/>
        <v>1</v>
      </c>
      <c r="F416" s="662"/>
      <c r="G416" s="21">
        <f t="shared" si="68"/>
        <v>1</v>
      </c>
      <c r="H416" s="662"/>
      <c r="I416" s="21">
        <f t="shared" si="69"/>
        <v>1</v>
      </c>
      <c r="J416" s="662"/>
      <c r="K416" s="21">
        <f t="shared" si="70"/>
        <v>1</v>
      </c>
      <c r="L416" s="662"/>
      <c r="M416" s="21">
        <f t="shared" si="71"/>
        <v>1</v>
      </c>
      <c r="N416" s="662"/>
      <c r="O416" s="21">
        <f t="shared" si="72"/>
        <v>1</v>
      </c>
      <c r="P416" s="662"/>
      <c r="Q416" s="21">
        <f t="shared" si="73"/>
        <v>0.06</v>
      </c>
      <c r="R416" s="659">
        <f t="shared" si="74"/>
        <v>0</v>
      </c>
      <c r="S416" s="316">
        <f t="shared" si="65"/>
        <v>0</v>
      </c>
    </row>
    <row r="417" spans="1:19">
      <c r="A417" s="150"/>
      <c r="B417" s="54"/>
      <c r="C417" s="21">
        <f t="shared" si="66"/>
        <v>1</v>
      </c>
      <c r="D417" s="662"/>
      <c r="E417" s="21">
        <f t="shared" si="67"/>
        <v>1</v>
      </c>
      <c r="F417" s="662"/>
      <c r="G417" s="21">
        <f t="shared" si="68"/>
        <v>1</v>
      </c>
      <c r="H417" s="662"/>
      <c r="I417" s="21">
        <f t="shared" si="69"/>
        <v>1</v>
      </c>
      <c r="J417" s="662"/>
      <c r="K417" s="21">
        <f t="shared" si="70"/>
        <v>1</v>
      </c>
      <c r="L417" s="662"/>
      <c r="M417" s="21">
        <f t="shared" si="71"/>
        <v>1</v>
      </c>
      <c r="N417" s="662"/>
      <c r="O417" s="21">
        <f t="shared" si="72"/>
        <v>1</v>
      </c>
      <c r="P417" s="662"/>
      <c r="Q417" s="21">
        <f t="shared" si="73"/>
        <v>0.06</v>
      </c>
      <c r="R417" s="659">
        <f t="shared" si="74"/>
        <v>0</v>
      </c>
      <c r="S417" s="316">
        <f t="shared" si="65"/>
        <v>0</v>
      </c>
    </row>
    <row r="418" spans="1:19">
      <c r="A418" s="150"/>
      <c r="B418" s="54"/>
      <c r="C418" s="21">
        <f t="shared" si="66"/>
        <v>1</v>
      </c>
      <c r="D418" s="662"/>
      <c r="E418" s="21">
        <f t="shared" si="67"/>
        <v>1</v>
      </c>
      <c r="F418" s="662"/>
      <c r="G418" s="21">
        <f t="shared" si="68"/>
        <v>1</v>
      </c>
      <c r="H418" s="662"/>
      <c r="I418" s="21">
        <f t="shared" si="69"/>
        <v>1</v>
      </c>
      <c r="J418" s="662"/>
      <c r="K418" s="21">
        <f t="shared" si="70"/>
        <v>1</v>
      </c>
      <c r="L418" s="662"/>
      <c r="M418" s="21">
        <f t="shared" si="71"/>
        <v>1</v>
      </c>
      <c r="N418" s="662"/>
      <c r="O418" s="21">
        <f t="shared" si="72"/>
        <v>1</v>
      </c>
      <c r="P418" s="662"/>
      <c r="Q418" s="21">
        <f t="shared" si="73"/>
        <v>0.06</v>
      </c>
      <c r="R418" s="659">
        <f t="shared" si="74"/>
        <v>0</v>
      </c>
      <c r="S418" s="316">
        <f t="shared" si="65"/>
        <v>0</v>
      </c>
    </row>
    <row r="419" spans="1:19">
      <c r="A419" s="150"/>
      <c r="B419" s="54"/>
      <c r="C419" s="21">
        <f t="shared" si="66"/>
        <v>1</v>
      </c>
      <c r="D419" s="662"/>
      <c r="E419" s="21">
        <f t="shared" si="67"/>
        <v>1</v>
      </c>
      <c r="F419" s="662"/>
      <c r="G419" s="21">
        <f t="shared" si="68"/>
        <v>1</v>
      </c>
      <c r="H419" s="662"/>
      <c r="I419" s="21">
        <f t="shared" si="69"/>
        <v>1</v>
      </c>
      <c r="J419" s="662"/>
      <c r="K419" s="21">
        <f t="shared" si="70"/>
        <v>1</v>
      </c>
      <c r="L419" s="662"/>
      <c r="M419" s="21">
        <f t="shared" si="71"/>
        <v>1</v>
      </c>
      <c r="N419" s="662"/>
      <c r="O419" s="21">
        <f t="shared" si="72"/>
        <v>1</v>
      </c>
      <c r="P419" s="662"/>
      <c r="Q419" s="21">
        <f t="shared" si="73"/>
        <v>0.06</v>
      </c>
      <c r="R419" s="659">
        <f t="shared" si="74"/>
        <v>0</v>
      </c>
      <c r="S419" s="316">
        <f t="shared" si="65"/>
        <v>0</v>
      </c>
    </row>
    <row r="420" spans="1:19">
      <c r="A420" s="150"/>
      <c r="B420" s="54"/>
      <c r="C420" s="21">
        <f t="shared" si="66"/>
        <v>1</v>
      </c>
      <c r="D420" s="662"/>
      <c r="E420" s="21">
        <f t="shared" si="67"/>
        <v>1</v>
      </c>
      <c r="F420" s="662"/>
      <c r="G420" s="21">
        <f t="shared" si="68"/>
        <v>1</v>
      </c>
      <c r="H420" s="662"/>
      <c r="I420" s="21">
        <f t="shared" si="69"/>
        <v>1</v>
      </c>
      <c r="J420" s="662"/>
      <c r="K420" s="21">
        <f t="shared" si="70"/>
        <v>1</v>
      </c>
      <c r="L420" s="662"/>
      <c r="M420" s="21">
        <f t="shared" si="71"/>
        <v>1</v>
      </c>
      <c r="N420" s="662"/>
      <c r="O420" s="21">
        <f t="shared" si="72"/>
        <v>1</v>
      </c>
      <c r="P420" s="662"/>
      <c r="Q420" s="21">
        <f t="shared" si="73"/>
        <v>0.06</v>
      </c>
      <c r="R420" s="659">
        <f t="shared" si="74"/>
        <v>0</v>
      </c>
      <c r="S420" s="316">
        <f t="shared" si="65"/>
        <v>0</v>
      </c>
    </row>
    <row r="421" spans="1:19">
      <c r="A421" s="150"/>
      <c r="B421" s="54"/>
      <c r="C421" s="21">
        <f t="shared" si="66"/>
        <v>1</v>
      </c>
      <c r="D421" s="662"/>
      <c r="E421" s="21">
        <f t="shared" si="67"/>
        <v>1</v>
      </c>
      <c r="F421" s="662"/>
      <c r="G421" s="21">
        <f t="shared" si="68"/>
        <v>1</v>
      </c>
      <c r="H421" s="662"/>
      <c r="I421" s="21">
        <f t="shared" si="69"/>
        <v>1</v>
      </c>
      <c r="J421" s="662"/>
      <c r="K421" s="21">
        <f t="shared" si="70"/>
        <v>1</v>
      </c>
      <c r="L421" s="662"/>
      <c r="M421" s="21">
        <f t="shared" si="71"/>
        <v>1</v>
      </c>
      <c r="N421" s="662"/>
      <c r="O421" s="21">
        <f t="shared" si="72"/>
        <v>1</v>
      </c>
      <c r="P421" s="662"/>
      <c r="Q421" s="21">
        <f t="shared" si="73"/>
        <v>0.06</v>
      </c>
      <c r="R421" s="659">
        <f t="shared" si="74"/>
        <v>0</v>
      </c>
      <c r="S421" s="316">
        <f t="shared" si="65"/>
        <v>0</v>
      </c>
    </row>
    <row r="422" spans="1:19">
      <c r="A422" s="150"/>
      <c r="B422" s="54"/>
      <c r="C422" s="21">
        <f t="shared" si="66"/>
        <v>1</v>
      </c>
      <c r="D422" s="662"/>
      <c r="E422" s="21">
        <f t="shared" si="67"/>
        <v>1</v>
      </c>
      <c r="F422" s="662"/>
      <c r="G422" s="21">
        <f t="shared" si="68"/>
        <v>1</v>
      </c>
      <c r="H422" s="662"/>
      <c r="I422" s="21">
        <f t="shared" si="69"/>
        <v>1</v>
      </c>
      <c r="J422" s="662"/>
      <c r="K422" s="21">
        <f t="shared" si="70"/>
        <v>1</v>
      </c>
      <c r="L422" s="662"/>
      <c r="M422" s="21">
        <f t="shared" si="71"/>
        <v>1</v>
      </c>
      <c r="N422" s="662"/>
      <c r="O422" s="21">
        <f t="shared" si="72"/>
        <v>1</v>
      </c>
      <c r="P422" s="662"/>
      <c r="Q422" s="21">
        <f t="shared" si="73"/>
        <v>0.06</v>
      </c>
      <c r="R422" s="659">
        <f t="shared" si="74"/>
        <v>0</v>
      </c>
      <c r="S422" s="316">
        <f t="shared" si="65"/>
        <v>0</v>
      </c>
    </row>
    <row r="423" spans="1:19">
      <c r="A423" s="150"/>
      <c r="B423" s="54"/>
      <c r="C423" s="21">
        <f t="shared" si="66"/>
        <v>1</v>
      </c>
      <c r="D423" s="662"/>
      <c r="E423" s="21">
        <f t="shared" si="67"/>
        <v>1</v>
      </c>
      <c r="F423" s="662"/>
      <c r="G423" s="21">
        <f t="shared" si="68"/>
        <v>1</v>
      </c>
      <c r="H423" s="662"/>
      <c r="I423" s="21">
        <f t="shared" si="69"/>
        <v>1</v>
      </c>
      <c r="J423" s="662"/>
      <c r="K423" s="21">
        <f t="shared" si="70"/>
        <v>1</v>
      </c>
      <c r="L423" s="662"/>
      <c r="M423" s="21">
        <f t="shared" si="71"/>
        <v>1</v>
      </c>
      <c r="N423" s="662"/>
      <c r="O423" s="21">
        <f t="shared" si="72"/>
        <v>1</v>
      </c>
      <c r="P423" s="662"/>
      <c r="Q423" s="21">
        <f t="shared" si="73"/>
        <v>0.06</v>
      </c>
      <c r="R423" s="659">
        <f t="shared" si="74"/>
        <v>0</v>
      </c>
      <c r="S423" s="316">
        <f t="shared" si="65"/>
        <v>0</v>
      </c>
    </row>
    <row r="424" spans="1:19">
      <c r="A424" s="150"/>
      <c r="B424" s="54"/>
      <c r="C424" s="21">
        <f t="shared" si="66"/>
        <v>1</v>
      </c>
      <c r="D424" s="662"/>
      <c r="E424" s="21">
        <f t="shared" si="67"/>
        <v>1</v>
      </c>
      <c r="F424" s="662"/>
      <c r="G424" s="21">
        <f t="shared" si="68"/>
        <v>1</v>
      </c>
      <c r="H424" s="662"/>
      <c r="I424" s="21">
        <f t="shared" si="69"/>
        <v>1</v>
      </c>
      <c r="J424" s="662"/>
      <c r="K424" s="21">
        <f t="shared" si="70"/>
        <v>1</v>
      </c>
      <c r="L424" s="662"/>
      <c r="M424" s="21">
        <f t="shared" si="71"/>
        <v>1</v>
      </c>
      <c r="N424" s="662"/>
      <c r="O424" s="21">
        <f t="shared" si="72"/>
        <v>1</v>
      </c>
      <c r="P424" s="662"/>
      <c r="Q424" s="21">
        <f t="shared" si="73"/>
        <v>0.06</v>
      </c>
      <c r="R424" s="659">
        <f t="shared" si="74"/>
        <v>0</v>
      </c>
      <c r="S424" s="316">
        <f t="shared" si="65"/>
        <v>0</v>
      </c>
    </row>
    <row r="425" spans="1:19">
      <c r="A425" s="150"/>
      <c r="B425" s="54"/>
      <c r="C425" s="21">
        <f t="shared" si="66"/>
        <v>1</v>
      </c>
      <c r="D425" s="662"/>
      <c r="E425" s="21">
        <f t="shared" si="67"/>
        <v>1</v>
      </c>
      <c r="F425" s="662"/>
      <c r="G425" s="21">
        <f t="shared" si="68"/>
        <v>1</v>
      </c>
      <c r="H425" s="662"/>
      <c r="I425" s="21">
        <f t="shared" si="69"/>
        <v>1</v>
      </c>
      <c r="J425" s="662"/>
      <c r="K425" s="21">
        <f t="shared" si="70"/>
        <v>1</v>
      </c>
      <c r="L425" s="662"/>
      <c r="M425" s="21">
        <f t="shared" si="71"/>
        <v>1</v>
      </c>
      <c r="N425" s="662"/>
      <c r="O425" s="21">
        <f t="shared" si="72"/>
        <v>1</v>
      </c>
      <c r="P425" s="662"/>
      <c r="Q425" s="21">
        <f t="shared" si="73"/>
        <v>0.06</v>
      </c>
      <c r="R425" s="659">
        <f t="shared" si="74"/>
        <v>0</v>
      </c>
      <c r="S425" s="316">
        <f t="shared" si="65"/>
        <v>0</v>
      </c>
    </row>
    <row r="426" spans="1:19">
      <c r="A426" s="150"/>
      <c r="B426" s="54"/>
      <c r="C426" s="21">
        <f t="shared" si="66"/>
        <v>1</v>
      </c>
      <c r="D426" s="662"/>
      <c r="E426" s="21">
        <f t="shared" si="67"/>
        <v>1</v>
      </c>
      <c r="F426" s="662"/>
      <c r="G426" s="21">
        <f t="shared" si="68"/>
        <v>1</v>
      </c>
      <c r="H426" s="662"/>
      <c r="I426" s="21">
        <f t="shared" si="69"/>
        <v>1</v>
      </c>
      <c r="J426" s="662"/>
      <c r="K426" s="21">
        <f t="shared" si="70"/>
        <v>1</v>
      </c>
      <c r="L426" s="662"/>
      <c r="M426" s="21">
        <f t="shared" si="71"/>
        <v>1</v>
      </c>
      <c r="N426" s="662"/>
      <c r="O426" s="21">
        <f t="shared" si="72"/>
        <v>1</v>
      </c>
      <c r="P426" s="662"/>
      <c r="Q426" s="21">
        <f t="shared" si="73"/>
        <v>0.06</v>
      </c>
      <c r="R426" s="659">
        <f t="shared" si="74"/>
        <v>0</v>
      </c>
      <c r="S426" s="316">
        <f t="shared" si="65"/>
        <v>0</v>
      </c>
    </row>
    <row r="427" spans="1:19">
      <c r="A427" s="150"/>
      <c r="B427" s="54"/>
      <c r="C427" s="21">
        <f t="shared" si="66"/>
        <v>1</v>
      </c>
      <c r="D427" s="662"/>
      <c r="E427" s="21">
        <f t="shared" si="67"/>
        <v>1</v>
      </c>
      <c r="F427" s="662"/>
      <c r="G427" s="21">
        <f t="shared" si="68"/>
        <v>1</v>
      </c>
      <c r="H427" s="662"/>
      <c r="I427" s="21">
        <f t="shared" si="69"/>
        <v>1</v>
      </c>
      <c r="J427" s="662"/>
      <c r="K427" s="21">
        <f t="shared" si="70"/>
        <v>1</v>
      </c>
      <c r="L427" s="662"/>
      <c r="M427" s="21">
        <f t="shared" si="71"/>
        <v>1</v>
      </c>
      <c r="N427" s="662"/>
      <c r="O427" s="21">
        <f t="shared" si="72"/>
        <v>1</v>
      </c>
      <c r="P427" s="662"/>
      <c r="Q427" s="21">
        <f t="shared" si="73"/>
        <v>0.06</v>
      </c>
      <c r="R427" s="659">
        <f t="shared" si="74"/>
        <v>0</v>
      </c>
      <c r="S427" s="316">
        <f t="shared" si="65"/>
        <v>0</v>
      </c>
    </row>
    <row r="428" spans="1:19">
      <c r="A428" s="150"/>
      <c r="B428" s="54"/>
      <c r="C428" s="21">
        <f t="shared" si="66"/>
        <v>1</v>
      </c>
      <c r="D428" s="662"/>
      <c r="E428" s="21">
        <f t="shared" si="67"/>
        <v>1</v>
      </c>
      <c r="F428" s="662"/>
      <c r="G428" s="21">
        <f t="shared" si="68"/>
        <v>1</v>
      </c>
      <c r="H428" s="662"/>
      <c r="I428" s="21">
        <f t="shared" si="69"/>
        <v>1</v>
      </c>
      <c r="J428" s="662"/>
      <c r="K428" s="21">
        <f t="shared" si="70"/>
        <v>1</v>
      </c>
      <c r="L428" s="662"/>
      <c r="M428" s="21">
        <f t="shared" si="71"/>
        <v>1</v>
      </c>
      <c r="N428" s="662"/>
      <c r="O428" s="21">
        <f t="shared" si="72"/>
        <v>1</v>
      </c>
      <c r="P428" s="662"/>
      <c r="Q428" s="21">
        <f t="shared" si="73"/>
        <v>0.06</v>
      </c>
      <c r="R428" s="659">
        <f t="shared" si="74"/>
        <v>0</v>
      </c>
      <c r="S428" s="316">
        <f t="shared" si="65"/>
        <v>0</v>
      </c>
    </row>
    <row r="429" spans="1:19">
      <c r="A429" s="150"/>
      <c r="B429" s="54"/>
      <c r="C429" s="21">
        <f t="shared" si="66"/>
        <v>1</v>
      </c>
      <c r="D429" s="662"/>
      <c r="E429" s="21">
        <f t="shared" si="67"/>
        <v>1</v>
      </c>
      <c r="F429" s="662"/>
      <c r="G429" s="21">
        <f t="shared" si="68"/>
        <v>1</v>
      </c>
      <c r="H429" s="662"/>
      <c r="I429" s="21">
        <f t="shared" si="69"/>
        <v>1</v>
      </c>
      <c r="J429" s="662"/>
      <c r="K429" s="21">
        <f t="shared" si="70"/>
        <v>1</v>
      </c>
      <c r="L429" s="662"/>
      <c r="M429" s="21">
        <f t="shared" si="71"/>
        <v>1</v>
      </c>
      <c r="N429" s="662"/>
      <c r="O429" s="21">
        <f t="shared" si="72"/>
        <v>1</v>
      </c>
      <c r="P429" s="662"/>
      <c r="Q429" s="21">
        <f t="shared" si="73"/>
        <v>0.06</v>
      </c>
      <c r="R429" s="659">
        <f t="shared" si="74"/>
        <v>0</v>
      </c>
      <c r="S429" s="316">
        <f t="shared" si="65"/>
        <v>0</v>
      </c>
    </row>
    <row r="430" spans="1:19">
      <c r="A430" s="150"/>
      <c r="B430" s="54"/>
      <c r="C430" s="21">
        <f t="shared" si="66"/>
        <v>1</v>
      </c>
      <c r="D430" s="662"/>
      <c r="E430" s="21">
        <f t="shared" si="67"/>
        <v>1</v>
      </c>
      <c r="F430" s="662"/>
      <c r="G430" s="21">
        <f t="shared" si="68"/>
        <v>1</v>
      </c>
      <c r="H430" s="662"/>
      <c r="I430" s="21">
        <f t="shared" si="69"/>
        <v>1</v>
      </c>
      <c r="J430" s="662"/>
      <c r="K430" s="21">
        <f t="shared" si="70"/>
        <v>1</v>
      </c>
      <c r="L430" s="662"/>
      <c r="M430" s="21">
        <f t="shared" si="71"/>
        <v>1</v>
      </c>
      <c r="N430" s="662"/>
      <c r="O430" s="21">
        <f t="shared" si="72"/>
        <v>1</v>
      </c>
      <c r="P430" s="662"/>
      <c r="Q430" s="21">
        <f t="shared" si="73"/>
        <v>0.06</v>
      </c>
      <c r="R430" s="659">
        <f t="shared" si="74"/>
        <v>0</v>
      </c>
      <c r="S430" s="316">
        <f t="shared" si="65"/>
        <v>0</v>
      </c>
    </row>
    <row r="431" spans="1:19">
      <c r="A431" s="150"/>
      <c r="B431" s="54"/>
      <c r="C431" s="21">
        <f t="shared" si="66"/>
        <v>1</v>
      </c>
      <c r="D431" s="662"/>
      <c r="E431" s="21">
        <f t="shared" si="67"/>
        <v>1</v>
      </c>
      <c r="F431" s="662"/>
      <c r="G431" s="21">
        <f t="shared" si="68"/>
        <v>1</v>
      </c>
      <c r="H431" s="662"/>
      <c r="I431" s="21">
        <f t="shared" si="69"/>
        <v>1</v>
      </c>
      <c r="J431" s="662"/>
      <c r="K431" s="21">
        <f t="shared" si="70"/>
        <v>1</v>
      </c>
      <c r="L431" s="662"/>
      <c r="M431" s="21">
        <f t="shared" si="71"/>
        <v>1</v>
      </c>
      <c r="N431" s="662"/>
      <c r="O431" s="21">
        <f t="shared" si="72"/>
        <v>1</v>
      </c>
      <c r="P431" s="662"/>
      <c r="Q431" s="21">
        <f t="shared" si="73"/>
        <v>0.06</v>
      </c>
      <c r="R431" s="659">
        <f t="shared" si="74"/>
        <v>0</v>
      </c>
      <c r="S431" s="316">
        <f t="shared" si="65"/>
        <v>0</v>
      </c>
    </row>
    <row r="432" spans="1:19">
      <c r="A432" s="150"/>
      <c r="B432" s="54"/>
      <c r="C432" s="21">
        <f t="shared" si="66"/>
        <v>1</v>
      </c>
      <c r="D432" s="662"/>
      <c r="E432" s="21">
        <f t="shared" si="67"/>
        <v>1</v>
      </c>
      <c r="F432" s="662"/>
      <c r="G432" s="21">
        <f t="shared" si="68"/>
        <v>1</v>
      </c>
      <c r="H432" s="662"/>
      <c r="I432" s="21">
        <f t="shared" si="69"/>
        <v>1</v>
      </c>
      <c r="J432" s="662"/>
      <c r="K432" s="21">
        <f t="shared" si="70"/>
        <v>1</v>
      </c>
      <c r="L432" s="662"/>
      <c r="M432" s="21">
        <f t="shared" si="71"/>
        <v>1</v>
      </c>
      <c r="N432" s="662"/>
      <c r="O432" s="21">
        <f t="shared" si="72"/>
        <v>1</v>
      </c>
      <c r="P432" s="662"/>
      <c r="Q432" s="21">
        <f t="shared" si="73"/>
        <v>0.06</v>
      </c>
      <c r="R432" s="659">
        <f t="shared" si="74"/>
        <v>0</v>
      </c>
      <c r="S432" s="316">
        <f t="shared" si="65"/>
        <v>0</v>
      </c>
    </row>
    <row r="433" spans="1:19">
      <c r="A433" s="150"/>
      <c r="B433" s="54"/>
      <c r="C433" s="21">
        <f t="shared" si="66"/>
        <v>1</v>
      </c>
      <c r="D433" s="662"/>
      <c r="E433" s="21">
        <f t="shared" si="67"/>
        <v>1</v>
      </c>
      <c r="F433" s="662"/>
      <c r="G433" s="21">
        <f t="shared" si="68"/>
        <v>1</v>
      </c>
      <c r="H433" s="662"/>
      <c r="I433" s="21">
        <f t="shared" si="69"/>
        <v>1</v>
      </c>
      <c r="J433" s="662"/>
      <c r="K433" s="21">
        <f t="shared" si="70"/>
        <v>1</v>
      </c>
      <c r="L433" s="662"/>
      <c r="M433" s="21">
        <f t="shared" si="71"/>
        <v>1</v>
      </c>
      <c r="N433" s="662"/>
      <c r="O433" s="21">
        <f t="shared" si="72"/>
        <v>1</v>
      </c>
      <c r="P433" s="662"/>
      <c r="Q433" s="21">
        <f t="shared" si="73"/>
        <v>0.06</v>
      </c>
      <c r="R433" s="659">
        <f t="shared" si="74"/>
        <v>0</v>
      </c>
      <c r="S433" s="316">
        <f t="shared" si="65"/>
        <v>0</v>
      </c>
    </row>
    <row r="434" spans="1:19">
      <c r="A434" s="150"/>
      <c r="B434" s="54"/>
      <c r="C434" s="21">
        <f t="shared" si="66"/>
        <v>1</v>
      </c>
      <c r="D434" s="662"/>
      <c r="E434" s="21">
        <f t="shared" si="67"/>
        <v>1</v>
      </c>
      <c r="F434" s="662"/>
      <c r="G434" s="21">
        <f t="shared" si="68"/>
        <v>1</v>
      </c>
      <c r="H434" s="662"/>
      <c r="I434" s="21">
        <f t="shared" si="69"/>
        <v>1</v>
      </c>
      <c r="J434" s="662"/>
      <c r="K434" s="21">
        <f t="shared" si="70"/>
        <v>1</v>
      </c>
      <c r="L434" s="662"/>
      <c r="M434" s="21">
        <f t="shared" si="71"/>
        <v>1</v>
      </c>
      <c r="N434" s="662"/>
      <c r="O434" s="21">
        <f t="shared" si="72"/>
        <v>1</v>
      </c>
      <c r="P434" s="662"/>
      <c r="Q434" s="21">
        <f t="shared" si="73"/>
        <v>0.06</v>
      </c>
      <c r="R434" s="659">
        <f t="shared" si="74"/>
        <v>0</v>
      </c>
      <c r="S434" s="316">
        <f t="shared" si="65"/>
        <v>0</v>
      </c>
    </row>
    <row r="435" spans="1:19">
      <c r="A435" s="150"/>
      <c r="B435" s="54"/>
      <c r="C435" s="21">
        <f t="shared" si="66"/>
        <v>1</v>
      </c>
      <c r="D435" s="662"/>
      <c r="E435" s="21">
        <f t="shared" si="67"/>
        <v>1</v>
      </c>
      <c r="F435" s="662"/>
      <c r="G435" s="21">
        <f t="shared" si="68"/>
        <v>1</v>
      </c>
      <c r="H435" s="662"/>
      <c r="I435" s="21">
        <f t="shared" si="69"/>
        <v>1</v>
      </c>
      <c r="J435" s="662"/>
      <c r="K435" s="21">
        <f t="shared" si="70"/>
        <v>1</v>
      </c>
      <c r="L435" s="662"/>
      <c r="M435" s="21">
        <f t="shared" si="71"/>
        <v>1</v>
      </c>
      <c r="N435" s="662"/>
      <c r="O435" s="21">
        <f t="shared" si="72"/>
        <v>1</v>
      </c>
      <c r="P435" s="662"/>
      <c r="Q435" s="21">
        <f t="shared" si="73"/>
        <v>0.06</v>
      </c>
      <c r="R435" s="659">
        <f t="shared" si="74"/>
        <v>0</v>
      </c>
      <c r="S435" s="316">
        <f t="shared" si="65"/>
        <v>0</v>
      </c>
    </row>
    <row r="436" spans="1:19">
      <c r="A436" s="150"/>
      <c r="B436" s="54"/>
      <c r="C436" s="21">
        <f t="shared" si="66"/>
        <v>1</v>
      </c>
      <c r="D436" s="662"/>
      <c r="E436" s="21">
        <f t="shared" si="67"/>
        <v>1</v>
      </c>
      <c r="F436" s="662"/>
      <c r="G436" s="21">
        <f t="shared" si="68"/>
        <v>1</v>
      </c>
      <c r="H436" s="662"/>
      <c r="I436" s="21">
        <f t="shared" si="69"/>
        <v>1</v>
      </c>
      <c r="J436" s="662"/>
      <c r="K436" s="21">
        <f t="shared" si="70"/>
        <v>1</v>
      </c>
      <c r="L436" s="662"/>
      <c r="M436" s="21">
        <f t="shared" si="71"/>
        <v>1</v>
      </c>
      <c r="N436" s="662"/>
      <c r="O436" s="21">
        <f t="shared" si="72"/>
        <v>1</v>
      </c>
      <c r="P436" s="662"/>
      <c r="Q436" s="21">
        <f t="shared" si="73"/>
        <v>0.06</v>
      </c>
      <c r="R436" s="659">
        <f t="shared" si="74"/>
        <v>0</v>
      </c>
      <c r="S436" s="316">
        <f t="shared" si="65"/>
        <v>0</v>
      </c>
    </row>
    <row r="437" spans="1:19">
      <c r="A437" s="150"/>
      <c r="B437" s="54"/>
      <c r="C437" s="21">
        <f t="shared" si="66"/>
        <v>1</v>
      </c>
      <c r="D437" s="662"/>
      <c r="E437" s="21">
        <f t="shared" si="67"/>
        <v>1</v>
      </c>
      <c r="F437" s="662"/>
      <c r="G437" s="21">
        <f t="shared" si="68"/>
        <v>1</v>
      </c>
      <c r="H437" s="662"/>
      <c r="I437" s="21">
        <f t="shared" si="69"/>
        <v>1</v>
      </c>
      <c r="J437" s="662"/>
      <c r="K437" s="21">
        <f t="shared" si="70"/>
        <v>1</v>
      </c>
      <c r="L437" s="662"/>
      <c r="M437" s="21">
        <f t="shared" si="71"/>
        <v>1</v>
      </c>
      <c r="N437" s="662"/>
      <c r="O437" s="21">
        <f t="shared" si="72"/>
        <v>1</v>
      </c>
      <c r="P437" s="662"/>
      <c r="Q437" s="21">
        <f t="shared" si="73"/>
        <v>0.06</v>
      </c>
      <c r="R437" s="659">
        <f t="shared" si="74"/>
        <v>0</v>
      </c>
      <c r="S437" s="316">
        <f t="shared" si="65"/>
        <v>0</v>
      </c>
    </row>
    <row r="438" spans="1:19">
      <c r="A438" s="150"/>
      <c r="B438" s="54"/>
      <c r="C438" s="21">
        <f t="shared" si="66"/>
        <v>1</v>
      </c>
      <c r="D438" s="662"/>
      <c r="E438" s="21">
        <f t="shared" si="67"/>
        <v>1</v>
      </c>
      <c r="F438" s="662"/>
      <c r="G438" s="21">
        <f t="shared" si="68"/>
        <v>1</v>
      </c>
      <c r="H438" s="662"/>
      <c r="I438" s="21">
        <f t="shared" si="69"/>
        <v>1</v>
      </c>
      <c r="J438" s="662"/>
      <c r="K438" s="21">
        <f t="shared" si="70"/>
        <v>1</v>
      </c>
      <c r="L438" s="662"/>
      <c r="M438" s="21">
        <f t="shared" si="71"/>
        <v>1</v>
      </c>
      <c r="N438" s="662"/>
      <c r="O438" s="21">
        <f t="shared" si="72"/>
        <v>1</v>
      </c>
      <c r="P438" s="662"/>
      <c r="Q438" s="21">
        <f t="shared" si="73"/>
        <v>0.06</v>
      </c>
      <c r="R438" s="659">
        <f t="shared" si="74"/>
        <v>0</v>
      </c>
      <c r="S438" s="316">
        <f t="shared" si="65"/>
        <v>0</v>
      </c>
    </row>
    <row r="439" spans="1:19">
      <c r="A439" s="150"/>
      <c r="B439" s="54"/>
      <c r="C439" s="21">
        <f t="shared" si="66"/>
        <v>1</v>
      </c>
      <c r="D439" s="662"/>
      <c r="E439" s="21">
        <f t="shared" si="67"/>
        <v>1</v>
      </c>
      <c r="F439" s="662"/>
      <c r="G439" s="21">
        <f t="shared" si="68"/>
        <v>1</v>
      </c>
      <c r="H439" s="662"/>
      <c r="I439" s="21">
        <f t="shared" si="69"/>
        <v>1</v>
      </c>
      <c r="J439" s="662"/>
      <c r="K439" s="21">
        <f t="shared" si="70"/>
        <v>1</v>
      </c>
      <c r="L439" s="662"/>
      <c r="M439" s="21">
        <f t="shared" si="71"/>
        <v>1</v>
      </c>
      <c r="N439" s="662"/>
      <c r="O439" s="21">
        <f t="shared" si="72"/>
        <v>1</v>
      </c>
      <c r="P439" s="662"/>
      <c r="Q439" s="21">
        <f t="shared" si="73"/>
        <v>0.06</v>
      </c>
      <c r="R439" s="659">
        <f t="shared" si="74"/>
        <v>0</v>
      </c>
      <c r="S439" s="316">
        <f t="shared" si="65"/>
        <v>0</v>
      </c>
    </row>
    <row r="440" spans="1:19">
      <c r="A440" s="150"/>
      <c r="B440" s="54"/>
      <c r="C440" s="21">
        <f t="shared" si="66"/>
        <v>1</v>
      </c>
      <c r="D440" s="662"/>
      <c r="E440" s="21">
        <f t="shared" si="67"/>
        <v>1</v>
      </c>
      <c r="F440" s="662"/>
      <c r="G440" s="21">
        <f t="shared" si="68"/>
        <v>1</v>
      </c>
      <c r="H440" s="662"/>
      <c r="I440" s="21">
        <f t="shared" si="69"/>
        <v>1</v>
      </c>
      <c r="J440" s="662"/>
      <c r="K440" s="21">
        <f t="shared" si="70"/>
        <v>1</v>
      </c>
      <c r="L440" s="662"/>
      <c r="M440" s="21">
        <f t="shared" si="71"/>
        <v>1</v>
      </c>
      <c r="N440" s="662"/>
      <c r="O440" s="21">
        <f t="shared" si="72"/>
        <v>1</v>
      </c>
      <c r="P440" s="662"/>
      <c r="Q440" s="21">
        <f t="shared" si="73"/>
        <v>0.06</v>
      </c>
      <c r="R440" s="659">
        <f t="shared" si="74"/>
        <v>0</v>
      </c>
      <c r="S440" s="316">
        <f t="shared" si="65"/>
        <v>0</v>
      </c>
    </row>
    <row r="441" spans="1:19">
      <c r="A441" s="150"/>
      <c r="B441" s="54"/>
      <c r="C441" s="21">
        <f t="shared" si="66"/>
        <v>1</v>
      </c>
      <c r="D441" s="662"/>
      <c r="E441" s="21">
        <f t="shared" si="67"/>
        <v>1</v>
      </c>
      <c r="F441" s="662"/>
      <c r="G441" s="21">
        <f t="shared" si="68"/>
        <v>1</v>
      </c>
      <c r="H441" s="662"/>
      <c r="I441" s="21">
        <f t="shared" si="69"/>
        <v>1</v>
      </c>
      <c r="J441" s="662"/>
      <c r="K441" s="21">
        <f t="shared" si="70"/>
        <v>1</v>
      </c>
      <c r="L441" s="662"/>
      <c r="M441" s="21">
        <f t="shared" si="71"/>
        <v>1</v>
      </c>
      <c r="N441" s="662"/>
      <c r="O441" s="21">
        <f t="shared" si="72"/>
        <v>1</v>
      </c>
      <c r="P441" s="662"/>
      <c r="Q441" s="21">
        <f t="shared" si="73"/>
        <v>0.06</v>
      </c>
      <c r="R441" s="659">
        <f t="shared" si="74"/>
        <v>0</v>
      </c>
      <c r="S441" s="316">
        <f t="shared" si="65"/>
        <v>0</v>
      </c>
    </row>
    <row r="442" spans="1:19">
      <c r="A442" s="150"/>
      <c r="B442" s="54"/>
      <c r="C442" s="21">
        <f t="shared" si="66"/>
        <v>1</v>
      </c>
      <c r="D442" s="662"/>
      <c r="E442" s="21">
        <f t="shared" si="67"/>
        <v>1</v>
      </c>
      <c r="F442" s="662"/>
      <c r="G442" s="21">
        <f t="shared" si="68"/>
        <v>1</v>
      </c>
      <c r="H442" s="662"/>
      <c r="I442" s="21">
        <f t="shared" si="69"/>
        <v>1</v>
      </c>
      <c r="J442" s="662"/>
      <c r="K442" s="21">
        <f t="shared" si="70"/>
        <v>1</v>
      </c>
      <c r="L442" s="662"/>
      <c r="M442" s="21">
        <f t="shared" si="71"/>
        <v>1</v>
      </c>
      <c r="N442" s="662"/>
      <c r="O442" s="21">
        <f t="shared" si="72"/>
        <v>1</v>
      </c>
      <c r="P442" s="662"/>
      <c r="Q442" s="21">
        <f t="shared" si="73"/>
        <v>0.06</v>
      </c>
      <c r="R442" s="659">
        <f t="shared" si="74"/>
        <v>0</v>
      </c>
      <c r="S442" s="316">
        <f t="shared" si="65"/>
        <v>0</v>
      </c>
    </row>
    <row r="443" spans="1:19">
      <c r="A443" s="150"/>
      <c r="B443" s="54"/>
      <c r="C443" s="21">
        <f t="shared" si="66"/>
        <v>1</v>
      </c>
      <c r="D443" s="662"/>
      <c r="E443" s="21">
        <f t="shared" si="67"/>
        <v>1</v>
      </c>
      <c r="F443" s="662"/>
      <c r="G443" s="21">
        <f t="shared" si="68"/>
        <v>1</v>
      </c>
      <c r="H443" s="662"/>
      <c r="I443" s="21">
        <f t="shared" si="69"/>
        <v>1</v>
      </c>
      <c r="J443" s="662"/>
      <c r="K443" s="21">
        <f t="shared" si="70"/>
        <v>1</v>
      </c>
      <c r="L443" s="662"/>
      <c r="M443" s="21">
        <f t="shared" si="71"/>
        <v>1</v>
      </c>
      <c r="N443" s="662"/>
      <c r="O443" s="21">
        <f t="shared" si="72"/>
        <v>1</v>
      </c>
      <c r="P443" s="662"/>
      <c r="Q443" s="21">
        <f t="shared" si="73"/>
        <v>0.06</v>
      </c>
      <c r="R443" s="659">
        <f t="shared" si="74"/>
        <v>0</v>
      </c>
      <c r="S443" s="316">
        <f t="shared" si="65"/>
        <v>0</v>
      </c>
    </row>
    <row r="444" spans="1:19">
      <c r="A444" s="150"/>
      <c r="B444" s="54"/>
      <c r="C444" s="21">
        <f t="shared" si="66"/>
        <v>1</v>
      </c>
      <c r="D444" s="662"/>
      <c r="E444" s="21">
        <f t="shared" si="67"/>
        <v>1</v>
      </c>
      <c r="F444" s="662"/>
      <c r="G444" s="21">
        <f t="shared" si="68"/>
        <v>1</v>
      </c>
      <c r="H444" s="662"/>
      <c r="I444" s="21">
        <f t="shared" si="69"/>
        <v>1</v>
      </c>
      <c r="J444" s="662"/>
      <c r="K444" s="21">
        <f t="shared" si="70"/>
        <v>1</v>
      </c>
      <c r="L444" s="662"/>
      <c r="M444" s="21">
        <f t="shared" si="71"/>
        <v>1</v>
      </c>
      <c r="N444" s="662"/>
      <c r="O444" s="21">
        <f t="shared" si="72"/>
        <v>1</v>
      </c>
      <c r="P444" s="662"/>
      <c r="Q444" s="21">
        <f t="shared" si="73"/>
        <v>0.06</v>
      </c>
      <c r="R444" s="659">
        <f t="shared" si="74"/>
        <v>0</v>
      </c>
      <c r="S444" s="316">
        <f t="shared" si="65"/>
        <v>0</v>
      </c>
    </row>
    <row r="445" spans="1:19">
      <c r="A445" s="150"/>
      <c r="B445" s="54"/>
      <c r="C445" s="21">
        <f t="shared" si="66"/>
        <v>1</v>
      </c>
      <c r="D445" s="662"/>
      <c r="E445" s="21">
        <f t="shared" si="67"/>
        <v>1</v>
      </c>
      <c r="F445" s="662"/>
      <c r="G445" s="21">
        <f t="shared" si="68"/>
        <v>1</v>
      </c>
      <c r="H445" s="662"/>
      <c r="I445" s="21">
        <f t="shared" si="69"/>
        <v>1</v>
      </c>
      <c r="J445" s="662"/>
      <c r="K445" s="21">
        <f t="shared" si="70"/>
        <v>1</v>
      </c>
      <c r="L445" s="662"/>
      <c r="M445" s="21">
        <f t="shared" si="71"/>
        <v>1</v>
      </c>
      <c r="N445" s="662"/>
      <c r="O445" s="21">
        <f t="shared" si="72"/>
        <v>1</v>
      </c>
      <c r="P445" s="662"/>
      <c r="Q445" s="21">
        <f t="shared" si="73"/>
        <v>0.06</v>
      </c>
      <c r="R445" s="659">
        <f t="shared" si="74"/>
        <v>0</v>
      </c>
      <c r="S445" s="316">
        <f t="shared" si="65"/>
        <v>0</v>
      </c>
    </row>
    <row r="446" spans="1:19">
      <c r="A446" s="150"/>
      <c r="B446" s="54"/>
      <c r="C446" s="21">
        <f t="shared" si="66"/>
        <v>1</v>
      </c>
      <c r="D446" s="662"/>
      <c r="E446" s="21">
        <f t="shared" si="67"/>
        <v>1</v>
      </c>
      <c r="F446" s="662"/>
      <c r="G446" s="21">
        <f t="shared" si="68"/>
        <v>1</v>
      </c>
      <c r="H446" s="662"/>
      <c r="I446" s="21">
        <f t="shared" si="69"/>
        <v>1</v>
      </c>
      <c r="J446" s="662"/>
      <c r="K446" s="21">
        <f t="shared" si="70"/>
        <v>1</v>
      </c>
      <c r="L446" s="662"/>
      <c r="M446" s="21">
        <f t="shared" si="71"/>
        <v>1</v>
      </c>
      <c r="N446" s="662"/>
      <c r="O446" s="21">
        <f t="shared" si="72"/>
        <v>1</v>
      </c>
      <c r="P446" s="662"/>
      <c r="Q446" s="21">
        <f t="shared" si="73"/>
        <v>0.06</v>
      </c>
      <c r="R446" s="659">
        <f t="shared" si="74"/>
        <v>0</v>
      </c>
      <c r="S446" s="316">
        <f t="shared" si="65"/>
        <v>0</v>
      </c>
    </row>
    <row r="447" spans="1:19">
      <c r="A447" s="150"/>
      <c r="B447" s="54"/>
      <c r="C447" s="21">
        <f t="shared" si="66"/>
        <v>1</v>
      </c>
      <c r="D447" s="662"/>
      <c r="E447" s="21">
        <f t="shared" si="67"/>
        <v>1</v>
      </c>
      <c r="F447" s="662"/>
      <c r="G447" s="21">
        <f t="shared" si="68"/>
        <v>1</v>
      </c>
      <c r="H447" s="662"/>
      <c r="I447" s="21">
        <f t="shared" si="69"/>
        <v>1</v>
      </c>
      <c r="J447" s="662"/>
      <c r="K447" s="21">
        <f t="shared" si="70"/>
        <v>1</v>
      </c>
      <c r="L447" s="662"/>
      <c r="M447" s="21">
        <f t="shared" si="71"/>
        <v>1</v>
      </c>
      <c r="N447" s="662"/>
      <c r="O447" s="21">
        <f t="shared" si="72"/>
        <v>1</v>
      </c>
      <c r="P447" s="662"/>
      <c r="Q447" s="21">
        <f t="shared" si="73"/>
        <v>0.06</v>
      </c>
      <c r="R447" s="659">
        <f t="shared" si="74"/>
        <v>0</v>
      </c>
      <c r="S447" s="316">
        <f t="shared" si="65"/>
        <v>0</v>
      </c>
    </row>
    <row r="448" spans="1:19">
      <c r="A448" s="150"/>
      <c r="B448" s="54"/>
      <c r="C448" s="21">
        <f t="shared" si="66"/>
        <v>1</v>
      </c>
      <c r="D448" s="662"/>
      <c r="E448" s="21">
        <f t="shared" si="67"/>
        <v>1</v>
      </c>
      <c r="F448" s="662"/>
      <c r="G448" s="21">
        <f t="shared" si="68"/>
        <v>1</v>
      </c>
      <c r="H448" s="662"/>
      <c r="I448" s="21">
        <f t="shared" si="69"/>
        <v>1</v>
      </c>
      <c r="J448" s="662"/>
      <c r="K448" s="21">
        <f t="shared" si="70"/>
        <v>1</v>
      </c>
      <c r="L448" s="662"/>
      <c r="M448" s="21">
        <f t="shared" si="71"/>
        <v>1</v>
      </c>
      <c r="N448" s="662"/>
      <c r="O448" s="21">
        <f t="shared" si="72"/>
        <v>1</v>
      </c>
      <c r="P448" s="662"/>
      <c r="Q448" s="21">
        <f t="shared" si="73"/>
        <v>0.06</v>
      </c>
      <c r="R448" s="659">
        <f t="shared" si="74"/>
        <v>0</v>
      </c>
      <c r="S448" s="316">
        <f t="shared" si="65"/>
        <v>0</v>
      </c>
    </row>
    <row r="449" spans="1:19">
      <c r="A449" s="150"/>
      <c r="B449" s="54"/>
      <c r="C449" s="21">
        <f t="shared" si="66"/>
        <v>1</v>
      </c>
      <c r="D449" s="662"/>
      <c r="E449" s="21">
        <f t="shared" si="67"/>
        <v>1</v>
      </c>
      <c r="F449" s="662"/>
      <c r="G449" s="21">
        <f t="shared" si="68"/>
        <v>1</v>
      </c>
      <c r="H449" s="662"/>
      <c r="I449" s="21">
        <f t="shared" si="69"/>
        <v>1</v>
      </c>
      <c r="J449" s="662"/>
      <c r="K449" s="21">
        <f t="shared" si="70"/>
        <v>1</v>
      </c>
      <c r="L449" s="662"/>
      <c r="M449" s="21">
        <f t="shared" si="71"/>
        <v>1</v>
      </c>
      <c r="N449" s="662"/>
      <c r="O449" s="21">
        <f t="shared" si="72"/>
        <v>1</v>
      </c>
      <c r="P449" s="662"/>
      <c r="Q449" s="21">
        <f t="shared" si="73"/>
        <v>0.06</v>
      </c>
      <c r="R449" s="659">
        <f t="shared" si="74"/>
        <v>0</v>
      </c>
      <c r="S449" s="316">
        <f t="shared" si="65"/>
        <v>0</v>
      </c>
    </row>
    <row r="450" spans="1:19">
      <c r="A450" s="150"/>
      <c r="B450" s="54"/>
      <c r="C450" s="21">
        <f t="shared" si="66"/>
        <v>1</v>
      </c>
      <c r="D450" s="662"/>
      <c r="E450" s="21">
        <f t="shared" si="67"/>
        <v>1</v>
      </c>
      <c r="F450" s="662"/>
      <c r="G450" s="21">
        <f t="shared" si="68"/>
        <v>1</v>
      </c>
      <c r="H450" s="662"/>
      <c r="I450" s="21">
        <f t="shared" si="69"/>
        <v>1</v>
      </c>
      <c r="J450" s="662"/>
      <c r="K450" s="21">
        <f t="shared" si="70"/>
        <v>1</v>
      </c>
      <c r="L450" s="662"/>
      <c r="M450" s="21">
        <f t="shared" si="71"/>
        <v>1</v>
      </c>
      <c r="N450" s="662"/>
      <c r="O450" s="21">
        <f t="shared" si="72"/>
        <v>1</v>
      </c>
      <c r="P450" s="662"/>
      <c r="Q450" s="21">
        <f t="shared" si="73"/>
        <v>0.06</v>
      </c>
      <c r="R450" s="659">
        <f t="shared" si="74"/>
        <v>0</v>
      </c>
      <c r="S450" s="316">
        <f t="shared" si="65"/>
        <v>0</v>
      </c>
    </row>
    <row r="451" spans="1:19">
      <c r="A451" s="150"/>
      <c r="B451" s="54"/>
      <c r="C451" s="21">
        <f t="shared" si="66"/>
        <v>1</v>
      </c>
      <c r="D451" s="662"/>
      <c r="E451" s="21">
        <f t="shared" si="67"/>
        <v>1</v>
      </c>
      <c r="F451" s="662"/>
      <c r="G451" s="21">
        <f t="shared" si="68"/>
        <v>1</v>
      </c>
      <c r="H451" s="662"/>
      <c r="I451" s="21">
        <f t="shared" si="69"/>
        <v>1</v>
      </c>
      <c r="J451" s="662"/>
      <c r="K451" s="21">
        <f t="shared" si="70"/>
        <v>1</v>
      </c>
      <c r="L451" s="662"/>
      <c r="M451" s="21">
        <f t="shared" si="71"/>
        <v>1</v>
      </c>
      <c r="N451" s="662"/>
      <c r="O451" s="21">
        <f t="shared" si="72"/>
        <v>1</v>
      </c>
      <c r="P451" s="662"/>
      <c r="Q451" s="21">
        <f t="shared" si="73"/>
        <v>0.06</v>
      </c>
      <c r="R451" s="659">
        <f t="shared" si="74"/>
        <v>0</v>
      </c>
      <c r="S451" s="316">
        <f t="shared" si="65"/>
        <v>0</v>
      </c>
    </row>
    <row r="452" spans="1:19">
      <c r="A452" s="150"/>
      <c r="B452" s="54"/>
      <c r="C452" s="21">
        <f t="shared" si="66"/>
        <v>1</v>
      </c>
      <c r="D452" s="662"/>
      <c r="E452" s="21">
        <f t="shared" si="67"/>
        <v>1</v>
      </c>
      <c r="F452" s="662"/>
      <c r="G452" s="21">
        <f t="shared" si="68"/>
        <v>1</v>
      </c>
      <c r="H452" s="662"/>
      <c r="I452" s="21">
        <f t="shared" si="69"/>
        <v>1</v>
      </c>
      <c r="J452" s="662"/>
      <c r="K452" s="21">
        <f t="shared" si="70"/>
        <v>1</v>
      </c>
      <c r="L452" s="662"/>
      <c r="M452" s="21">
        <f t="shared" si="71"/>
        <v>1</v>
      </c>
      <c r="N452" s="662"/>
      <c r="O452" s="21">
        <f t="shared" si="72"/>
        <v>1</v>
      </c>
      <c r="P452" s="662"/>
      <c r="Q452" s="21">
        <f t="shared" si="73"/>
        <v>0.06</v>
      </c>
      <c r="R452" s="659">
        <f t="shared" si="74"/>
        <v>0</v>
      </c>
      <c r="S452" s="316">
        <f t="shared" si="65"/>
        <v>0</v>
      </c>
    </row>
    <row r="453" spans="1:19">
      <c r="A453" s="150"/>
      <c r="B453" s="54"/>
      <c r="C453" s="21">
        <f t="shared" si="66"/>
        <v>1</v>
      </c>
      <c r="D453" s="662"/>
      <c r="E453" s="21">
        <f t="shared" si="67"/>
        <v>1</v>
      </c>
      <c r="F453" s="662"/>
      <c r="G453" s="21">
        <f t="shared" si="68"/>
        <v>1</v>
      </c>
      <c r="H453" s="662"/>
      <c r="I453" s="21">
        <f t="shared" si="69"/>
        <v>1</v>
      </c>
      <c r="J453" s="662"/>
      <c r="K453" s="21">
        <f t="shared" si="70"/>
        <v>1</v>
      </c>
      <c r="L453" s="662"/>
      <c r="M453" s="21">
        <f t="shared" si="71"/>
        <v>1</v>
      </c>
      <c r="N453" s="662"/>
      <c r="O453" s="21">
        <f t="shared" si="72"/>
        <v>1</v>
      </c>
      <c r="P453" s="662"/>
      <c r="Q453" s="21">
        <f t="shared" si="73"/>
        <v>0.06</v>
      </c>
      <c r="R453" s="659">
        <f t="shared" si="74"/>
        <v>0</v>
      </c>
      <c r="S453" s="316">
        <f t="shared" si="65"/>
        <v>0</v>
      </c>
    </row>
    <row r="454" spans="1:19">
      <c r="A454" s="150"/>
      <c r="B454" s="54"/>
      <c r="C454" s="21">
        <f t="shared" si="66"/>
        <v>1</v>
      </c>
      <c r="D454" s="662"/>
      <c r="E454" s="21">
        <f t="shared" si="67"/>
        <v>1</v>
      </c>
      <c r="F454" s="662"/>
      <c r="G454" s="21">
        <f t="shared" si="68"/>
        <v>1</v>
      </c>
      <c r="H454" s="662"/>
      <c r="I454" s="21">
        <f t="shared" si="69"/>
        <v>1</v>
      </c>
      <c r="J454" s="662"/>
      <c r="K454" s="21">
        <f t="shared" si="70"/>
        <v>1</v>
      </c>
      <c r="L454" s="662"/>
      <c r="M454" s="21">
        <f t="shared" si="71"/>
        <v>1</v>
      </c>
      <c r="N454" s="662"/>
      <c r="O454" s="21">
        <f t="shared" si="72"/>
        <v>1</v>
      </c>
      <c r="P454" s="662"/>
      <c r="Q454" s="21">
        <f t="shared" si="73"/>
        <v>0.06</v>
      </c>
      <c r="R454" s="659">
        <f t="shared" si="74"/>
        <v>0</v>
      </c>
      <c r="S454" s="316">
        <f t="shared" si="65"/>
        <v>0</v>
      </c>
    </row>
    <row r="455" spans="1:19">
      <c r="A455" s="150"/>
      <c r="B455" s="54"/>
      <c r="C455" s="21">
        <f t="shared" si="66"/>
        <v>1</v>
      </c>
      <c r="D455" s="662"/>
      <c r="E455" s="21">
        <f t="shared" si="67"/>
        <v>1</v>
      </c>
      <c r="F455" s="662"/>
      <c r="G455" s="21">
        <f t="shared" si="68"/>
        <v>1</v>
      </c>
      <c r="H455" s="662"/>
      <c r="I455" s="21">
        <f t="shared" si="69"/>
        <v>1</v>
      </c>
      <c r="J455" s="662"/>
      <c r="K455" s="21">
        <f t="shared" si="70"/>
        <v>1</v>
      </c>
      <c r="L455" s="662"/>
      <c r="M455" s="21">
        <f t="shared" si="71"/>
        <v>1</v>
      </c>
      <c r="N455" s="662"/>
      <c r="O455" s="21">
        <f t="shared" si="72"/>
        <v>1</v>
      </c>
      <c r="P455" s="662"/>
      <c r="Q455" s="21">
        <f t="shared" si="73"/>
        <v>0.06</v>
      </c>
      <c r="R455" s="659">
        <f t="shared" si="74"/>
        <v>0</v>
      </c>
      <c r="S455" s="316">
        <f t="shared" si="65"/>
        <v>0</v>
      </c>
    </row>
    <row r="456" spans="1:19">
      <c r="A456" s="150"/>
      <c r="B456" s="54"/>
      <c r="C456" s="21">
        <f t="shared" si="66"/>
        <v>1</v>
      </c>
      <c r="D456" s="662"/>
      <c r="E456" s="21">
        <f t="shared" si="67"/>
        <v>1</v>
      </c>
      <c r="F456" s="662"/>
      <c r="G456" s="21">
        <f t="shared" si="68"/>
        <v>1</v>
      </c>
      <c r="H456" s="662"/>
      <c r="I456" s="21">
        <f t="shared" si="69"/>
        <v>1</v>
      </c>
      <c r="J456" s="662"/>
      <c r="K456" s="21">
        <f t="shared" si="70"/>
        <v>1</v>
      </c>
      <c r="L456" s="662"/>
      <c r="M456" s="21">
        <f t="shared" si="71"/>
        <v>1</v>
      </c>
      <c r="N456" s="662"/>
      <c r="O456" s="21">
        <f t="shared" si="72"/>
        <v>1</v>
      </c>
      <c r="P456" s="662"/>
      <c r="Q456" s="21">
        <f t="shared" si="73"/>
        <v>0.06</v>
      </c>
      <c r="R456" s="659">
        <f t="shared" si="74"/>
        <v>0</v>
      </c>
      <c r="S456" s="316">
        <f t="shared" si="65"/>
        <v>0</v>
      </c>
    </row>
    <row r="457" spans="1:19">
      <c r="A457" s="150"/>
      <c r="B457" s="54"/>
      <c r="C457" s="21">
        <f t="shared" si="66"/>
        <v>1</v>
      </c>
      <c r="D457" s="662"/>
      <c r="E457" s="21">
        <f t="shared" si="67"/>
        <v>1</v>
      </c>
      <c r="F457" s="662"/>
      <c r="G457" s="21">
        <f t="shared" si="68"/>
        <v>1</v>
      </c>
      <c r="H457" s="662"/>
      <c r="I457" s="21">
        <f t="shared" si="69"/>
        <v>1</v>
      </c>
      <c r="J457" s="662"/>
      <c r="K457" s="21">
        <f t="shared" si="70"/>
        <v>1</v>
      </c>
      <c r="L457" s="662"/>
      <c r="M457" s="21">
        <f t="shared" si="71"/>
        <v>1</v>
      </c>
      <c r="N457" s="662"/>
      <c r="O457" s="21">
        <f t="shared" si="72"/>
        <v>1</v>
      </c>
      <c r="P457" s="662"/>
      <c r="Q457" s="21">
        <f t="shared" si="73"/>
        <v>0.06</v>
      </c>
      <c r="R457" s="659">
        <f t="shared" si="74"/>
        <v>0</v>
      </c>
      <c r="S457" s="316">
        <f t="shared" si="65"/>
        <v>0</v>
      </c>
    </row>
    <row r="458" spans="1:19">
      <c r="A458" s="150"/>
      <c r="B458" s="54"/>
      <c r="C458" s="21">
        <f t="shared" si="66"/>
        <v>1</v>
      </c>
      <c r="D458" s="662"/>
      <c r="E458" s="21">
        <f t="shared" si="67"/>
        <v>1</v>
      </c>
      <c r="F458" s="662"/>
      <c r="G458" s="21">
        <f t="shared" si="68"/>
        <v>1</v>
      </c>
      <c r="H458" s="662"/>
      <c r="I458" s="21">
        <f t="shared" si="69"/>
        <v>1</v>
      </c>
      <c r="J458" s="662"/>
      <c r="K458" s="21">
        <f t="shared" si="70"/>
        <v>1</v>
      </c>
      <c r="L458" s="662"/>
      <c r="M458" s="21">
        <f t="shared" si="71"/>
        <v>1</v>
      </c>
      <c r="N458" s="662"/>
      <c r="O458" s="21">
        <f t="shared" si="72"/>
        <v>1</v>
      </c>
      <c r="P458" s="662"/>
      <c r="Q458" s="21">
        <f t="shared" si="73"/>
        <v>0.06</v>
      </c>
      <c r="R458" s="659">
        <f t="shared" si="74"/>
        <v>0</v>
      </c>
      <c r="S458" s="316">
        <f t="shared" si="65"/>
        <v>0</v>
      </c>
    </row>
    <row r="459" spans="1:19">
      <c r="A459" s="150"/>
      <c r="B459" s="54"/>
      <c r="C459" s="21">
        <f t="shared" si="66"/>
        <v>1</v>
      </c>
      <c r="D459" s="662"/>
      <c r="E459" s="21">
        <f t="shared" si="67"/>
        <v>1</v>
      </c>
      <c r="F459" s="662"/>
      <c r="G459" s="21">
        <f t="shared" si="68"/>
        <v>1</v>
      </c>
      <c r="H459" s="662"/>
      <c r="I459" s="21">
        <f t="shared" si="69"/>
        <v>1</v>
      </c>
      <c r="J459" s="662"/>
      <c r="K459" s="21">
        <f t="shared" si="70"/>
        <v>1</v>
      </c>
      <c r="L459" s="662"/>
      <c r="M459" s="21">
        <f t="shared" si="71"/>
        <v>1</v>
      </c>
      <c r="N459" s="662"/>
      <c r="O459" s="21">
        <f t="shared" si="72"/>
        <v>1</v>
      </c>
      <c r="P459" s="662"/>
      <c r="Q459" s="21">
        <f t="shared" si="73"/>
        <v>0.06</v>
      </c>
      <c r="R459" s="659">
        <f t="shared" si="74"/>
        <v>0</v>
      </c>
      <c r="S459" s="316">
        <f t="shared" si="65"/>
        <v>0</v>
      </c>
    </row>
    <row r="460" spans="1:19">
      <c r="A460" s="150"/>
      <c r="B460" s="54"/>
      <c r="C460" s="21">
        <f t="shared" si="66"/>
        <v>1</v>
      </c>
      <c r="D460" s="662"/>
      <c r="E460" s="21">
        <f t="shared" si="67"/>
        <v>1</v>
      </c>
      <c r="F460" s="662"/>
      <c r="G460" s="21">
        <f t="shared" si="68"/>
        <v>1</v>
      </c>
      <c r="H460" s="662"/>
      <c r="I460" s="21">
        <f t="shared" si="69"/>
        <v>1</v>
      </c>
      <c r="J460" s="662"/>
      <c r="K460" s="21">
        <f t="shared" si="70"/>
        <v>1</v>
      </c>
      <c r="L460" s="662"/>
      <c r="M460" s="21">
        <f t="shared" si="71"/>
        <v>1</v>
      </c>
      <c r="N460" s="662"/>
      <c r="O460" s="21">
        <f t="shared" si="72"/>
        <v>1</v>
      </c>
      <c r="P460" s="662"/>
      <c r="Q460" s="21">
        <f t="shared" si="73"/>
        <v>0.06</v>
      </c>
      <c r="R460" s="659">
        <f t="shared" si="74"/>
        <v>0</v>
      </c>
      <c r="S460" s="316">
        <f t="shared" si="65"/>
        <v>0</v>
      </c>
    </row>
    <row r="461" spans="1:19">
      <c r="A461" s="150"/>
      <c r="B461" s="54"/>
      <c r="C461" s="21">
        <f t="shared" si="66"/>
        <v>1</v>
      </c>
      <c r="D461" s="662"/>
      <c r="E461" s="21">
        <f t="shared" si="67"/>
        <v>1</v>
      </c>
      <c r="F461" s="662"/>
      <c r="G461" s="21">
        <f t="shared" si="68"/>
        <v>1</v>
      </c>
      <c r="H461" s="662"/>
      <c r="I461" s="21">
        <f t="shared" si="69"/>
        <v>1</v>
      </c>
      <c r="J461" s="662"/>
      <c r="K461" s="21">
        <f t="shared" si="70"/>
        <v>1</v>
      </c>
      <c r="L461" s="662"/>
      <c r="M461" s="21">
        <f t="shared" si="71"/>
        <v>1</v>
      </c>
      <c r="N461" s="662"/>
      <c r="O461" s="21">
        <f t="shared" si="72"/>
        <v>1</v>
      </c>
      <c r="P461" s="662"/>
      <c r="Q461" s="21">
        <f t="shared" si="73"/>
        <v>0.06</v>
      </c>
      <c r="R461" s="659">
        <f t="shared" si="74"/>
        <v>0</v>
      </c>
      <c r="S461" s="316">
        <f t="shared" si="65"/>
        <v>0</v>
      </c>
    </row>
    <row r="462" spans="1:19">
      <c r="A462" s="150"/>
      <c r="B462" s="54"/>
      <c r="C462" s="21">
        <f t="shared" si="66"/>
        <v>1</v>
      </c>
      <c r="D462" s="662"/>
      <c r="E462" s="21">
        <f t="shared" si="67"/>
        <v>1</v>
      </c>
      <c r="F462" s="662"/>
      <c r="G462" s="21">
        <f t="shared" si="68"/>
        <v>1</v>
      </c>
      <c r="H462" s="662"/>
      <c r="I462" s="21">
        <f t="shared" si="69"/>
        <v>1</v>
      </c>
      <c r="J462" s="662"/>
      <c r="K462" s="21">
        <f t="shared" si="70"/>
        <v>1</v>
      </c>
      <c r="L462" s="662"/>
      <c r="M462" s="21">
        <f t="shared" si="71"/>
        <v>1</v>
      </c>
      <c r="N462" s="662"/>
      <c r="O462" s="21">
        <f t="shared" si="72"/>
        <v>1</v>
      </c>
      <c r="P462" s="662"/>
      <c r="Q462" s="21">
        <f t="shared" si="73"/>
        <v>0.06</v>
      </c>
      <c r="R462" s="659">
        <f t="shared" si="74"/>
        <v>0</v>
      </c>
      <c r="S462" s="316">
        <f t="shared" si="65"/>
        <v>0</v>
      </c>
    </row>
    <row r="463" spans="1:19">
      <c r="A463" s="150"/>
      <c r="B463" s="54"/>
      <c r="C463" s="21">
        <f t="shared" si="66"/>
        <v>1</v>
      </c>
      <c r="D463" s="662"/>
      <c r="E463" s="21">
        <f t="shared" si="67"/>
        <v>1</v>
      </c>
      <c r="F463" s="662"/>
      <c r="G463" s="21">
        <f t="shared" si="68"/>
        <v>1</v>
      </c>
      <c r="H463" s="662"/>
      <c r="I463" s="21">
        <f t="shared" si="69"/>
        <v>1</v>
      </c>
      <c r="J463" s="662"/>
      <c r="K463" s="21">
        <f t="shared" si="70"/>
        <v>1</v>
      </c>
      <c r="L463" s="662"/>
      <c r="M463" s="21">
        <f t="shared" si="71"/>
        <v>1</v>
      </c>
      <c r="N463" s="662"/>
      <c r="O463" s="21">
        <f t="shared" si="72"/>
        <v>1</v>
      </c>
      <c r="P463" s="662"/>
      <c r="Q463" s="21">
        <f t="shared" si="73"/>
        <v>0.06</v>
      </c>
      <c r="R463" s="659">
        <f t="shared" si="74"/>
        <v>0</v>
      </c>
      <c r="S463" s="316">
        <f t="shared" si="65"/>
        <v>0</v>
      </c>
    </row>
    <row r="464" spans="1:19">
      <c r="A464" s="150"/>
      <c r="B464" s="54"/>
      <c r="C464" s="21">
        <f t="shared" si="66"/>
        <v>1</v>
      </c>
      <c r="D464" s="662"/>
      <c r="E464" s="21">
        <f t="shared" si="67"/>
        <v>1</v>
      </c>
      <c r="F464" s="662"/>
      <c r="G464" s="21">
        <f t="shared" si="68"/>
        <v>1</v>
      </c>
      <c r="H464" s="662"/>
      <c r="I464" s="21">
        <f t="shared" si="69"/>
        <v>1</v>
      </c>
      <c r="J464" s="662"/>
      <c r="K464" s="21">
        <f t="shared" si="70"/>
        <v>1</v>
      </c>
      <c r="L464" s="662"/>
      <c r="M464" s="21">
        <f t="shared" si="71"/>
        <v>1</v>
      </c>
      <c r="N464" s="662"/>
      <c r="O464" s="21">
        <f t="shared" si="72"/>
        <v>1</v>
      </c>
      <c r="P464" s="662"/>
      <c r="Q464" s="21">
        <f t="shared" si="73"/>
        <v>0.06</v>
      </c>
      <c r="R464" s="659">
        <f t="shared" si="74"/>
        <v>0</v>
      </c>
      <c r="S464" s="316">
        <f t="shared" si="65"/>
        <v>0</v>
      </c>
    </row>
    <row r="465" spans="1:19">
      <c r="A465" s="150"/>
      <c r="B465" s="54"/>
      <c r="C465" s="21">
        <f t="shared" si="66"/>
        <v>1</v>
      </c>
      <c r="D465" s="662"/>
      <c r="E465" s="21">
        <f t="shared" si="67"/>
        <v>1</v>
      </c>
      <c r="F465" s="662"/>
      <c r="G465" s="21">
        <f t="shared" si="68"/>
        <v>1</v>
      </c>
      <c r="H465" s="662"/>
      <c r="I465" s="21">
        <f t="shared" si="69"/>
        <v>1</v>
      </c>
      <c r="J465" s="662"/>
      <c r="K465" s="21">
        <f t="shared" si="70"/>
        <v>1</v>
      </c>
      <c r="L465" s="662"/>
      <c r="M465" s="21">
        <f t="shared" si="71"/>
        <v>1</v>
      </c>
      <c r="N465" s="662"/>
      <c r="O465" s="21">
        <f t="shared" si="72"/>
        <v>1</v>
      </c>
      <c r="P465" s="662"/>
      <c r="Q465" s="21">
        <f t="shared" si="73"/>
        <v>0.06</v>
      </c>
      <c r="R465" s="659">
        <f t="shared" si="74"/>
        <v>0</v>
      </c>
      <c r="S465" s="316">
        <f t="shared" si="65"/>
        <v>0</v>
      </c>
    </row>
    <row r="466" spans="1:19">
      <c r="A466" s="150"/>
      <c r="B466" s="54"/>
      <c r="C466" s="21">
        <f t="shared" si="66"/>
        <v>1</v>
      </c>
      <c r="D466" s="662"/>
      <c r="E466" s="21">
        <f t="shared" si="67"/>
        <v>1</v>
      </c>
      <c r="F466" s="662"/>
      <c r="G466" s="21">
        <f t="shared" si="68"/>
        <v>1</v>
      </c>
      <c r="H466" s="662"/>
      <c r="I466" s="21">
        <f t="shared" si="69"/>
        <v>1</v>
      </c>
      <c r="J466" s="662"/>
      <c r="K466" s="21">
        <f t="shared" si="70"/>
        <v>1</v>
      </c>
      <c r="L466" s="662"/>
      <c r="M466" s="21">
        <f t="shared" si="71"/>
        <v>1</v>
      </c>
      <c r="N466" s="662"/>
      <c r="O466" s="21">
        <f t="shared" si="72"/>
        <v>1</v>
      </c>
      <c r="P466" s="662"/>
      <c r="Q466" s="21">
        <f t="shared" si="73"/>
        <v>0.06</v>
      </c>
      <c r="R466" s="659">
        <f t="shared" si="74"/>
        <v>0</v>
      </c>
      <c r="S466" s="316">
        <f t="shared" si="65"/>
        <v>0</v>
      </c>
    </row>
    <row r="467" spans="1:19">
      <c r="A467" s="150"/>
      <c r="B467" s="54"/>
      <c r="C467" s="21">
        <f t="shared" si="66"/>
        <v>1</v>
      </c>
      <c r="D467" s="662"/>
      <c r="E467" s="21">
        <f t="shared" si="67"/>
        <v>1</v>
      </c>
      <c r="F467" s="662"/>
      <c r="G467" s="21">
        <f t="shared" si="68"/>
        <v>1</v>
      </c>
      <c r="H467" s="662"/>
      <c r="I467" s="21">
        <f t="shared" si="69"/>
        <v>1</v>
      </c>
      <c r="J467" s="662"/>
      <c r="K467" s="21">
        <f t="shared" si="70"/>
        <v>1</v>
      </c>
      <c r="L467" s="662"/>
      <c r="M467" s="21">
        <f t="shared" si="71"/>
        <v>1</v>
      </c>
      <c r="N467" s="662"/>
      <c r="O467" s="21">
        <f t="shared" si="72"/>
        <v>1</v>
      </c>
      <c r="P467" s="662"/>
      <c r="Q467" s="21">
        <f t="shared" si="73"/>
        <v>0.06</v>
      </c>
      <c r="R467" s="659">
        <f t="shared" si="74"/>
        <v>0</v>
      </c>
      <c r="S467" s="316">
        <f t="shared" si="65"/>
        <v>0</v>
      </c>
    </row>
    <row r="468" spans="1:19">
      <c r="A468" s="150"/>
      <c r="B468" s="54"/>
      <c r="C468" s="21">
        <f t="shared" si="66"/>
        <v>1</v>
      </c>
      <c r="D468" s="662"/>
      <c r="E468" s="21">
        <f t="shared" si="67"/>
        <v>1</v>
      </c>
      <c r="F468" s="662"/>
      <c r="G468" s="21">
        <f t="shared" si="68"/>
        <v>1</v>
      </c>
      <c r="H468" s="662"/>
      <c r="I468" s="21">
        <f t="shared" si="69"/>
        <v>1</v>
      </c>
      <c r="J468" s="662"/>
      <c r="K468" s="21">
        <f t="shared" si="70"/>
        <v>1</v>
      </c>
      <c r="L468" s="662"/>
      <c r="M468" s="21">
        <f t="shared" si="71"/>
        <v>1</v>
      </c>
      <c r="N468" s="662"/>
      <c r="O468" s="21">
        <f t="shared" si="72"/>
        <v>1</v>
      </c>
      <c r="P468" s="662"/>
      <c r="Q468" s="21">
        <f t="shared" si="73"/>
        <v>0.06</v>
      </c>
      <c r="R468" s="659">
        <f t="shared" si="74"/>
        <v>0</v>
      </c>
      <c r="S468" s="316">
        <f t="shared" si="65"/>
        <v>0</v>
      </c>
    </row>
    <row r="469" spans="1:19">
      <c r="A469" s="150"/>
      <c r="B469" s="54"/>
      <c r="C469" s="21">
        <f t="shared" si="66"/>
        <v>1</v>
      </c>
      <c r="D469" s="662"/>
      <c r="E469" s="21">
        <f t="shared" si="67"/>
        <v>1</v>
      </c>
      <c r="F469" s="662"/>
      <c r="G469" s="21">
        <f t="shared" si="68"/>
        <v>1</v>
      </c>
      <c r="H469" s="662"/>
      <c r="I469" s="21">
        <f t="shared" si="69"/>
        <v>1</v>
      </c>
      <c r="J469" s="662"/>
      <c r="K469" s="21">
        <f t="shared" si="70"/>
        <v>1</v>
      </c>
      <c r="L469" s="662"/>
      <c r="M469" s="21">
        <f t="shared" si="71"/>
        <v>1</v>
      </c>
      <c r="N469" s="662"/>
      <c r="O469" s="21">
        <f t="shared" si="72"/>
        <v>1</v>
      </c>
      <c r="P469" s="662"/>
      <c r="Q469" s="21">
        <f t="shared" si="73"/>
        <v>0.06</v>
      </c>
      <c r="R469" s="659">
        <f t="shared" si="74"/>
        <v>0</v>
      </c>
      <c r="S469" s="316">
        <f t="shared" si="65"/>
        <v>0</v>
      </c>
    </row>
    <row r="470" spans="1:19">
      <c r="A470" s="150"/>
      <c r="B470" s="54"/>
      <c r="C470" s="21">
        <f t="shared" si="66"/>
        <v>1</v>
      </c>
      <c r="D470" s="662"/>
      <c r="E470" s="21">
        <f t="shared" si="67"/>
        <v>1</v>
      </c>
      <c r="F470" s="662"/>
      <c r="G470" s="21">
        <f t="shared" si="68"/>
        <v>1</v>
      </c>
      <c r="H470" s="662"/>
      <c r="I470" s="21">
        <f t="shared" si="69"/>
        <v>1</v>
      </c>
      <c r="J470" s="662"/>
      <c r="K470" s="21">
        <f t="shared" si="70"/>
        <v>1</v>
      </c>
      <c r="L470" s="662"/>
      <c r="M470" s="21">
        <f t="shared" si="71"/>
        <v>1</v>
      </c>
      <c r="N470" s="662"/>
      <c r="O470" s="21">
        <f t="shared" si="72"/>
        <v>1</v>
      </c>
      <c r="P470" s="662"/>
      <c r="Q470" s="21">
        <f t="shared" si="73"/>
        <v>0.06</v>
      </c>
      <c r="R470" s="659">
        <f t="shared" si="74"/>
        <v>0</v>
      </c>
      <c r="S470" s="316">
        <f t="shared" si="65"/>
        <v>0</v>
      </c>
    </row>
    <row r="471" spans="1:19">
      <c r="A471" s="150"/>
      <c r="B471" s="54"/>
      <c r="C471" s="21">
        <f t="shared" si="66"/>
        <v>1</v>
      </c>
      <c r="D471" s="662"/>
      <c r="E471" s="21">
        <f t="shared" si="67"/>
        <v>1</v>
      </c>
      <c r="F471" s="662"/>
      <c r="G471" s="21">
        <f t="shared" si="68"/>
        <v>1</v>
      </c>
      <c r="H471" s="662"/>
      <c r="I471" s="21">
        <f t="shared" si="69"/>
        <v>1</v>
      </c>
      <c r="J471" s="662"/>
      <c r="K471" s="21">
        <f t="shared" si="70"/>
        <v>1</v>
      </c>
      <c r="L471" s="662"/>
      <c r="M471" s="21">
        <f t="shared" si="71"/>
        <v>1</v>
      </c>
      <c r="N471" s="662"/>
      <c r="O471" s="21">
        <f t="shared" si="72"/>
        <v>1</v>
      </c>
      <c r="P471" s="662"/>
      <c r="Q471" s="21">
        <f t="shared" si="73"/>
        <v>0.06</v>
      </c>
      <c r="R471" s="659">
        <f t="shared" si="74"/>
        <v>0</v>
      </c>
      <c r="S471" s="316">
        <f t="shared" si="65"/>
        <v>0</v>
      </c>
    </row>
    <row r="472" spans="1:19">
      <c r="A472" s="150"/>
      <c r="B472" s="54"/>
      <c r="C472" s="21">
        <f t="shared" si="66"/>
        <v>1</v>
      </c>
      <c r="D472" s="662"/>
      <c r="E472" s="21">
        <f t="shared" si="67"/>
        <v>1</v>
      </c>
      <c r="F472" s="662"/>
      <c r="G472" s="21">
        <f t="shared" si="68"/>
        <v>1</v>
      </c>
      <c r="H472" s="662"/>
      <c r="I472" s="21">
        <f t="shared" si="69"/>
        <v>1</v>
      </c>
      <c r="J472" s="662"/>
      <c r="K472" s="21">
        <f t="shared" si="70"/>
        <v>1</v>
      </c>
      <c r="L472" s="662"/>
      <c r="M472" s="21">
        <f t="shared" si="71"/>
        <v>1</v>
      </c>
      <c r="N472" s="662"/>
      <c r="O472" s="21">
        <f t="shared" si="72"/>
        <v>1</v>
      </c>
      <c r="P472" s="662"/>
      <c r="Q472" s="21">
        <f t="shared" si="73"/>
        <v>0.06</v>
      </c>
      <c r="R472" s="659">
        <f t="shared" si="74"/>
        <v>0</v>
      </c>
      <c r="S472" s="316">
        <f t="shared" ref="S472:S524" si="75">ROUND(R472*B472/10000,0)</f>
        <v>0</v>
      </c>
    </row>
    <row r="473" spans="1:19">
      <c r="A473" s="150"/>
      <c r="B473" s="54"/>
      <c r="C473" s="21">
        <f t="shared" si="66"/>
        <v>1</v>
      </c>
      <c r="D473" s="662"/>
      <c r="E473" s="21">
        <f t="shared" si="67"/>
        <v>1</v>
      </c>
      <c r="F473" s="662"/>
      <c r="G473" s="21">
        <f t="shared" si="68"/>
        <v>1</v>
      </c>
      <c r="H473" s="662"/>
      <c r="I473" s="21">
        <f t="shared" si="69"/>
        <v>1</v>
      </c>
      <c r="J473" s="662"/>
      <c r="K473" s="21">
        <f t="shared" si="70"/>
        <v>1</v>
      </c>
      <c r="L473" s="662"/>
      <c r="M473" s="21">
        <f t="shared" si="71"/>
        <v>1</v>
      </c>
      <c r="N473" s="662"/>
      <c r="O473" s="21">
        <f t="shared" si="72"/>
        <v>1</v>
      </c>
      <c r="P473" s="662"/>
      <c r="Q473" s="21">
        <f t="shared" si="73"/>
        <v>0.06</v>
      </c>
      <c r="R473" s="659">
        <f t="shared" si="74"/>
        <v>0</v>
      </c>
      <c r="S473" s="316">
        <f t="shared" si="75"/>
        <v>0</v>
      </c>
    </row>
    <row r="474" spans="1:19">
      <c r="A474" s="150"/>
      <c r="B474" s="54"/>
      <c r="C474" s="21">
        <f t="shared" ref="C474:C524" si="76">IF(B474="",1,(LOOKUP(B474,$3:$3,$4:$4)-LOOKUP($B$24,$3:$3,$4:$4)+100)/100)</f>
        <v>1</v>
      </c>
      <c r="D474" s="662"/>
      <c r="E474" s="21">
        <f t="shared" ref="E474:E524" si="77">(SUMIF($5:$5,D474,$6:$6)-SUMIF($5:$5,$D$24,$6:$6)+100)/100</f>
        <v>1</v>
      </c>
      <c r="F474" s="662"/>
      <c r="G474" s="21">
        <f t="shared" ref="G474:G524" si="78">(SUMIF($7:$7,F474,$8:$8)-SUMIF($7:$7,$F$24,$8:$8)+100)/100</f>
        <v>1</v>
      </c>
      <c r="H474" s="662"/>
      <c r="I474" s="21">
        <f t="shared" ref="I474:I524" si="79">(SUMIF($9:$9,H474,$10:$10)-SUMIF($9:$9,$H$24,$10:$10)+100)/100</f>
        <v>1</v>
      </c>
      <c r="J474" s="662"/>
      <c r="K474" s="21">
        <f t="shared" ref="K474:K524" si="80">(SUMIF($11:$11,J474,$12:$12)-SUMIF($11:$11,$J$24,$12:$12)+100)/100</f>
        <v>1</v>
      </c>
      <c r="L474" s="662"/>
      <c r="M474" s="21">
        <f t="shared" ref="M474:M524" si="81">(SUMIF($13:$13,L474,$14:$14)-SUMIF($13:$13,$L$24,$14:$14)+100)/100</f>
        <v>1</v>
      </c>
      <c r="N474" s="662"/>
      <c r="O474" s="21">
        <f t="shared" ref="O474:O524" si="82">(SUMIF($15:$15,N474,$16:$16)-SUMIF($15:$15,$N$24,$16:$16)+100)/100</f>
        <v>1</v>
      </c>
      <c r="P474" s="662"/>
      <c r="Q474" s="21">
        <f t="shared" ref="Q474:Q524" si="83">(SUMIF($17:$17,P474,$18:$18)-SUMIF($17:$17,$P$24,$18:$18)+100)/100</f>
        <v>0.06</v>
      </c>
      <c r="R474" s="659">
        <f t="shared" ref="R474:R524" si="84">IF(B474="",0,ROUND($R$24*C474*E474*G474*I474*K474*M474*O474*Q474,0))</f>
        <v>0</v>
      </c>
      <c r="S474" s="316">
        <f t="shared" si="75"/>
        <v>0</v>
      </c>
    </row>
    <row r="475" spans="1:19">
      <c r="A475" s="150"/>
      <c r="B475" s="54"/>
      <c r="C475" s="21">
        <f t="shared" si="76"/>
        <v>1</v>
      </c>
      <c r="D475" s="662"/>
      <c r="E475" s="21">
        <f t="shared" si="77"/>
        <v>1</v>
      </c>
      <c r="F475" s="662"/>
      <c r="G475" s="21">
        <f t="shared" si="78"/>
        <v>1</v>
      </c>
      <c r="H475" s="662"/>
      <c r="I475" s="21">
        <f t="shared" si="79"/>
        <v>1</v>
      </c>
      <c r="J475" s="662"/>
      <c r="K475" s="21">
        <f t="shared" si="80"/>
        <v>1</v>
      </c>
      <c r="L475" s="662"/>
      <c r="M475" s="21">
        <f t="shared" si="81"/>
        <v>1</v>
      </c>
      <c r="N475" s="662"/>
      <c r="O475" s="21">
        <f t="shared" si="82"/>
        <v>1</v>
      </c>
      <c r="P475" s="662"/>
      <c r="Q475" s="21">
        <f t="shared" si="83"/>
        <v>0.06</v>
      </c>
      <c r="R475" s="659">
        <f t="shared" si="84"/>
        <v>0</v>
      </c>
      <c r="S475" s="316">
        <f t="shared" si="75"/>
        <v>0</v>
      </c>
    </row>
    <row r="476" spans="1:19">
      <c r="A476" s="150"/>
      <c r="B476" s="54"/>
      <c r="C476" s="21">
        <f t="shared" si="76"/>
        <v>1</v>
      </c>
      <c r="D476" s="662"/>
      <c r="E476" s="21">
        <f t="shared" si="77"/>
        <v>1</v>
      </c>
      <c r="F476" s="662"/>
      <c r="G476" s="21">
        <f t="shared" si="78"/>
        <v>1</v>
      </c>
      <c r="H476" s="662"/>
      <c r="I476" s="21">
        <f t="shared" si="79"/>
        <v>1</v>
      </c>
      <c r="J476" s="662"/>
      <c r="K476" s="21">
        <f t="shared" si="80"/>
        <v>1</v>
      </c>
      <c r="L476" s="662"/>
      <c r="M476" s="21">
        <f t="shared" si="81"/>
        <v>1</v>
      </c>
      <c r="N476" s="662"/>
      <c r="O476" s="21">
        <f t="shared" si="82"/>
        <v>1</v>
      </c>
      <c r="P476" s="662"/>
      <c r="Q476" s="21">
        <f t="shared" si="83"/>
        <v>0.06</v>
      </c>
      <c r="R476" s="659">
        <f t="shared" si="84"/>
        <v>0</v>
      </c>
      <c r="S476" s="316">
        <f t="shared" si="75"/>
        <v>0</v>
      </c>
    </row>
    <row r="477" spans="1:19">
      <c r="A477" s="150"/>
      <c r="B477" s="54"/>
      <c r="C477" s="21">
        <f t="shared" si="76"/>
        <v>1</v>
      </c>
      <c r="D477" s="662"/>
      <c r="E477" s="21">
        <f t="shared" si="77"/>
        <v>1</v>
      </c>
      <c r="F477" s="662"/>
      <c r="G477" s="21">
        <f t="shared" si="78"/>
        <v>1</v>
      </c>
      <c r="H477" s="662"/>
      <c r="I477" s="21">
        <f t="shared" si="79"/>
        <v>1</v>
      </c>
      <c r="J477" s="662"/>
      <c r="K477" s="21">
        <f t="shared" si="80"/>
        <v>1</v>
      </c>
      <c r="L477" s="662"/>
      <c r="M477" s="21">
        <f t="shared" si="81"/>
        <v>1</v>
      </c>
      <c r="N477" s="662"/>
      <c r="O477" s="21">
        <f t="shared" si="82"/>
        <v>1</v>
      </c>
      <c r="P477" s="662"/>
      <c r="Q477" s="21">
        <f t="shared" si="83"/>
        <v>0.06</v>
      </c>
      <c r="R477" s="659">
        <f t="shared" si="84"/>
        <v>0</v>
      </c>
      <c r="S477" s="316">
        <f t="shared" si="75"/>
        <v>0</v>
      </c>
    </row>
    <row r="478" spans="1:19">
      <c r="A478" s="150"/>
      <c r="B478" s="54"/>
      <c r="C478" s="21">
        <f t="shared" si="76"/>
        <v>1</v>
      </c>
      <c r="D478" s="662"/>
      <c r="E478" s="21">
        <f t="shared" si="77"/>
        <v>1</v>
      </c>
      <c r="F478" s="662"/>
      <c r="G478" s="21">
        <f t="shared" si="78"/>
        <v>1</v>
      </c>
      <c r="H478" s="662"/>
      <c r="I478" s="21">
        <f t="shared" si="79"/>
        <v>1</v>
      </c>
      <c r="J478" s="662"/>
      <c r="K478" s="21">
        <f t="shared" si="80"/>
        <v>1</v>
      </c>
      <c r="L478" s="662"/>
      <c r="M478" s="21">
        <f t="shared" si="81"/>
        <v>1</v>
      </c>
      <c r="N478" s="662"/>
      <c r="O478" s="21">
        <f t="shared" si="82"/>
        <v>1</v>
      </c>
      <c r="P478" s="662"/>
      <c r="Q478" s="21">
        <f t="shared" si="83"/>
        <v>0.06</v>
      </c>
      <c r="R478" s="659">
        <f t="shared" si="84"/>
        <v>0</v>
      </c>
      <c r="S478" s="316">
        <f t="shared" si="75"/>
        <v>0</v>
      </c>
    </row>
    <row r="479" spans="1:19">
      <c r="A479" s="150"/>
      <c r="B479" s="54"/>
      <c r="C479" s="21">
        <f t="shared" si="76"/>
        <v>1</v>
      </c>
      <c r="D479" s="662"/>
      <c r="E479" s="21">
        <f t="shared" si="77"/>
        <v>1</v>
      </c>
      <c r="F479" s="662"/>
      <c r="G479" s="21">
        <f t="shared" si="78"/>
        <v>1</v>
      </c>
      <c r="H479" s="662"/>
      <c r="I479" s="21">
        <f t="shared" si="79"/>
        <v>1</v>
      </c>
      <c r="J479" s="662"/>
      <c r="K479" s="21">
        <f t="shared" si="80"/>
        <v>1</v>
      </c>
      <c r="L479" s="662"/>
      <c r="M479" s="21">
        <f t="shared" si="81"/>
        <v>1</v>
      </c>
      <c r="N479" s="662"/>
      <c r="O479" s="21">
        <f t="shared" si="82"/>
        <v>1</v>
      </c>
      <c r="P479" s="662"/>
      <c r="Q479" s="21">
        <f t="shared" si="83"/>
        <v>0.06</v>
      </c>
      <c r="R479" s="659">
        <f t="shared" si="84"/>
        <v>0</v>
      </c>
      <c r="S479" s="316">
        <f t="shared" si="75"/>
        <v>0</v>
      </c>
    </row>
    <row r="480" spans="1:19">
      <c r="A480" s="150"/>
      <c r="B480" s="54"/>
      <c r="C480" s="21">
        <f t="shared" si="76"/>
        <v>1</v>
      </c>
      <c r="D480" s="662"/>
      <c r="E480" s="21">
        <f t="shared" si="77"/>
        <v>1</v>
      </c>
      <c r="F480" s="662"/>
      <c r="G480" s="21">
        <f t="shared" si="78"/>
        <v>1</v>
      </c>
      <c r="H480" s="662"/>
      <c r="I480" s="21">
        <f t="shared" si="79"/>
        <v>1</v>
      </c>
      <c r="J480" s="662"/>
      <c r="K480" s="21">
        <f t="shared" si="80"/>
        <v>1</v>
      </c>
      <c r="L480" s="662"/>
      <c r="M480" s="21">
        <f t="shared" si="81"/>
        <v>1</v>
      </c>
      <c r="N480" s="662"/>
      <c r="O480" s="21">
        <f t="shared" si="82"/>
        <v>1</v>
      </c>
      <c r="P480" s="662"/>
      <c r="Q480" s="21">
        <f t="shared" si="83"/>
        <v>0.06</v>
      </c>
      <c r="R480" s="659">
        <f t="shared" si="84"/>
        <v>0</v>
      </c>
      <c r="S480" s="316">
        <f t="shared" si="75"/>
        <v>0</v>
      </c>
    </row>
    <row r="481" spans="1:19">
      <c r="A481" s="150"/>
      <c r="B481" s="54"/>
      <c r="C481" s="21">
        <f t="shared" si="76"/>
        <v>1</v>
      </c>
      <c r="D481" s="662"/>
      <c r="E481" s="21">
        <f t="shared" si="77"/>
        <v>1</v>
      </c>
      <c r="F481" s="662"/>
      <c r="G481" s="21">
        <f t="shared" si="78"/>
        <v>1</v>
      </c>
      <c r="H481" s="662"/>
      <c r="I481" s="21">
        <f t="shared" si="79"/>
        <v>1</v>
      </c>
      <c r="J481" s="662"/>
      <c r="K481" s="21">
        <f t="shared" si="80"/>
        <v>1</v>
      </c>
      <c r="L481" s="662"/>
      <c r="M481" s="21">
        <f t="shared" si="81"/>
        <v>1</v>
      </c>
      <c r="N481" s="662"/>
      <c r="O481" s="21">
        <f t="shared" si="82"/>
        <v>1</v>
      </c>
      <c r="P481" s="662"/>
      <c r="Q481" s="21">
        <f t="shared" si="83"/>
        <v>0.06</v>
      </c>
      <c r="R481" s="659">
        <f t="shared" si="84"/>
        <v>0</v>
      </c>
      <c r="S481" s="316">
        <f t="shared" si="75"/>
        <v>0</v>
      </c>
    </row>
    <row r="482" spans="1:19">
      <c r="A482" s="150"/>
      <c r="B482" s="54"/>
      <c r="C482" s="21">
        <f t="shared" si="76"/>
        <v>1</v>
      </c>
      <c r="D482" s="662"/>
      <c r="E482" s="21">
        <f t="shared" si="77"/>
        <v>1</v>
      </c>
      <c r="F482" s="662"/>
      <c r="G482" s="21">
        <f t="shared" si="78"/>
        <v>1</v>
      </c>
      <c r="H482" s="662"/>
      <c r="I482" s="21">
        <f t="shared" si="79"/>
        <v>1</v>
      </c>
      <c r="J482" s="662"/>
      <c r="K482" s="21">
        <f t="shared" si="80"/>
        <v>1</v>
      </c>
      <c r="L482" s="662"/>
      <c r="M482" s="21">
        <f t="shared" si="81"/>
        <v>1</v>
      </c>
      <c r="N482" s="662"/>
      <c r="O482" s="21">
        <f t="shared" si="82"/>
        <v>1</v>
      </c>
      <c r="P482" s="662"/>
      <c r="Q482" s="21">
        <f t="shared" si="83"/>
        <v>0.06</v>
      </c>
      <c r="R482" s="659">
        <f t="shared" si="84"/>
        <v>0</v>
      </c>
      <c r="S482" s="316">
        <f t="shared" si="75"/>
        <v>0</v>
      </c>
    </row>
    <row r="483" spans="1:19">
      <c r="A483" s="150"/>
      <c r="B483" s="54"/>
      <c r="C483" s="21">
        <f t="shared" si="76"/>
        <v>1</v>
      </c>
      <c r="D483" s="662"/>
      <c r="E483" s="21">
        <f t="shared" si="77"/>
        <v>1</v>
      </c>
      <c r="F483" s="662"/>
      <c r="G483" s="21">
        <f t="shared" si="78"/>
        <v>1</v>
      </c>
      <c r="H483" s="662"/>
      <c r="I483" s="21">
        <f t="shared" si="79"/>
        <v>1</v>
      </c>
      <c r="J483" s="662"/>
      <c r="K483" s="21">
        <f t="shared" si="80"/>
        <v>1</v>
      </c>
      <c r="L483" s="662"/>
      <c r="M483" s="21">
        <f t="shared" si="81"/>
        <v>1</v>
      </c>
      <c r="N483" s="662"/>
      <c r="O483" s="21">
        <f t="shared" si="82"/>
        <v>1</v>
      </c>
      <c r="P483" s="662"/>
      <c r="Q483" s="21">
        <f t="shared" si="83"/>
        <v>0.06</v>
      </c>
      <c r="R483" s="659">
        <f t="shared" si="84"/>
        <v>0</v>
      </c>
      <c r="S483" s="316">
        <f t="shared" si="75"/>
        <v>0</v>
      </c>
    </row>
    <row r="484" spans="1:19">
      <c r="A484" s="150"/>
      <c r="B484" s="54"/>
      <c r="C484" s="21">
        <f t="shared" si="76"/>
        <v>1</v>
      </c>
      <c r="D484" s="662"/>
      <c r="E484" s="21">
        <f t="shared" si="77"/>
        <v>1</v>
      </c>
      <c r="F484" s="662"/>
      <c r="G484" s="21">
        <f t="shared" si="78"/>
        <v>1</v>
      </c>
      <c r="H484" s="662"/>
      <c r="I484" s="21">
        <f t="shared" si="79"/>
        <v>1</v>
      </c>
      <c r="J484" s="662"/>
      <c r="K484" s="21">
        <f t="shared" si="80"/>
        <v>1</v>
      </c>
      <c r="L484" s="662"/>
      <c r="M484" s="21">
        <f t="shared" si="81"/>
        <v>1</v>
      </c>
      <c r="N484" s="662"/>
      <c r="O484" s="21">
        <f t="shared" si="82"/>
        <v>1</v>
      </c>
      <c r="P484" s="662"/>
      <c r="Q484" s="21">
        <f t="shared" si="83"/>
        <v>0.06</v>
      </c>
      <c r="R484" s="659">
        <f t="shared" si="84"/>
        <v>0</v>
      </c>
      <c r="S484" s="316">
        <f t="shared" si="75"/>
        <v>0</v>
      </c>
    </row>
    <row r="485" spans="1:19">
      <c r="A485" s="150"/>
      <c r="B485" s="54"/>
      <c r="C485" s="21">
        <f t="shared" si="76"/>
        <v>1</v>
      </c>
      <c r="D485" s="662"/>
      <c r="E485" s="21">
        <f t="shared" si="77"/>
        <v>1</v>
      </c>
      <c r="F485" s="662"/>
      <c r="G485" s="21">
        <f t="shared" si="78"/>
        <v>1</v>
      </c>
      <c r="H485" s="662"/>
      <c r="I485" s="21">
        <f t="shared" si="79"/>
        <v>1</v>
      </c>
      <c r="J485" s="662"/>
      <c r="K485" s="21">
        <f t="shared" si="80"/>
        <v>1</v>
      </c>
      <c r="L485" s="662"/>
      <c r="M485" s="21">
        <f t="shared" si="81"/>
        <v>1</v>
      </c>
      <c r="N485" s="662"/>
      <c r="O485" s="21">
        <f t="shared" si="82"/>
        <v>1</v>
      </c>
      <c r="P485" s="662"/>
      <c r="Q485" s="21">
        <f t="shared" si="83"/>
        <v>0.06</v>
      </c>
      <c r="R485" s="659">
        <f t="shared" si="84"/>
        <v>0</v>
      </c>
      <c r="S485" s="316">
        <f t="shared" si="75"/>
        <v>0</v>
      </c>
    </row>
    <row r="486" spans="1:19">
      <c r="A486" s="150"/>
      <c r="B486" s="54"/>
      <c r="C486" s="21">
        <f t="shared" si="76"/>
        <v>1</v>
      </c>
      <c r="D486" s="662"/>
      <c r="E486" s="21">
        <f t="shared" si="77"/>
        <v>1</v>
      </c>
      <c r="F486" s="662"/>
      <c r="G486" s="21">
        <f t="shared" si="78"/>
        <v>1</v>
      </c>
      <c r="H486" s="662"/>
      <c r="I486" s="21">
        <f t="shared" si="79"/>
        <v>1</v>
      </c>
      <c r="J486" s="662"/>
      <c r="K486" s="21">
        <f t="shared" si="80"/>
        <v>1</v>
      </c>
      <c r="L486" s="662"/>
      <c r="M486" s="21">
        <f t="shared" si="81"/>
        <v>1</v>
      </c>
      <c r="N486" s="662"/>
      <c r="O486" s="21">
        <f t="shared" si="82"/>
        <v>1</v>
      </c>
      <c r="P486" s="662"/>
      <c r="Q486" s="21">
        <f t="shared" si="83"/>
        <v>0.06</v>
      </c>
      <c r="R486" s="659">
        <f t="shared" si="84"/>
        <v>0</v>
      </c>
      <c r="S486" s="316">
        <f t="shared" si="75"/>
        <v>0</v>
      </c>
    </row>
    <row r="487" spans="1:19">
      <c r="A487" s="150"/>
      <c r="B487" s="54"/>
      <c r="C487" s="21">
        <f t="shared" si="76"/>
        <v>1</v>
      </c>
      <c r="D487" s="662"/>
      <c r="E487" s="21">
        <f t="shared" si="77"/>
        <v>1</v>
      </c>
      <c r="F487" s="662"/>
      <c r="G487" s="21">
        <f t="shared" si="78"/>
        <v>1</v>
      </c>
      <c r="H487" s="662"/>
      <c r="I487" s="21">
        <f t="shared" si="79"/>
        <v>1</v>
      </c>
      <c r="J487" s="662"/>
      <c r="K487" s="21">
        <f t="shared" si="80"/>
        <v>1</v>
      </c>
      <c r="L487" s="662"/>
      <c r="M487" s="21">
        <f t="shared" si="81"/>
        <v>1</v>
      </c>
      <c r="N487" s="662"/>
      <c r="O487" s="21">
        <f t="shared" si="82"/>
        <v>1</v>
      </c>
      <c r="P487" s="662"/>
      <c r="Q487" s="21">
        <f t="shared" si="83"/>
        <v>0.06</v>
      </c>
      <c r="R487" s="659">
        <f t="shared" si="84"/>
        <v>0</v>
      </c>
      <c r="S487" s="316">
        <f t="shared" si="75"/>
        <v>0</v>
      </c>
    </row>
    <row r="488" spans="1:19">
      <c r="A488" s="150"/>
      <c r="B488" s="54"/>
      <c r="C488" s="21">
        <f t="shared" si="76"/>
        <v>1</v>
      </c>
      <c r="D488" s="662"/>
      <c r="E488" s="21">
        <f t="shared" si="77"/>
        <v>1</v>
      </c>
      <c r="F488" s="662"/>
      <c r="G488" s="21">
        <f t="shared" si="78"/>
        <v>1</v>
      </c>
      <c r="H488" s="662"/>
      <c r="I488" s="21">
        <f t="shared" si="79"/>
        <v>1</v>
      </c>
      <c r="J488" s="662"/>
      <c r="K488" s="21">
        <f t="shared" si="80"/>
        <v>1</v>
      </c>
      <c r="L488" s="662"/>
      <c r="M488" s="21">
        <f t="shared" si="81"/>
        <v>1</v>
      </c>
      <c r="N488" s="662"/>
      <c r="O488" s="21">
        <f t="shared" si="82"/>
        <v>1</v>
      </c>
      <c r="P488" s="662"/>
      <c r="Q488" s="21">
        <f t="shared" si="83"/>
        <v>0.06</v>
      </c>
      <c r="R488" s="659">
        <f t="shared" si="84"/>
        <v>0</v>
      </c>
      <c r="S488" s="316">
        <f t="shared" si="75"/>
        <v>0</v>
      </c>
    </row>
    <row r="489" spans="1:19">
      <c r="A489" s="150"/>
      <c r="B489" s="54"/>
      <c r="C489" s="21">
        <f t="shared" si="76"/>
        <v>1</v>
      </c>
      <c r="D489" s="662"/>
      <c r="E489" s="21">
        <f t="shared" si="77"/>
        <v>1</v>
      </c>
      <c r="F489" s="662"/>
      <c r="G489" s="21">
        <f t="shared" si="78"/>
        <v>1</v>
      </c>
      <c r="H489" s="662"/>
      <c r="I489" s="21">
        <f t="shared" si="79"/>
        <v>1</v>
      </c>
      <c r="J489" s="662"/>
      <c r="K489" s="21">
        <f t="shared" si="80"/>
        <v>1</v>
      </c>
      <c r="L489" s="662"/>
      <c r="M489" s="21">
        <f t="shared" si="81"/>
        <v>1</v>
      </c>
      <c r="N489" s="662"/>
      <c r="O489" s="21">
        <f t="shared" si="82"/>
        <v>1</v>
      </c>
      <c r="P489" s="662"/>
      <c r="Q489" s="21">
        <f t="shared" si="83"/>
        <v>0.06</v>
      </c>
      <c r="R489" s="659">
        <f t="shared" si="84"/>
        <v>0</v>
      </c>
      <c r="S489" s="316">
        <f t="shared" si="75"/>
        <v>0</v>
      </c>
    </row>
    <row r="490" spans="1:19">
      <c r="A490" s="150"/>
      <c r="B490" s="54"/>
      <c r="C490" s="21">
        <f t="shared" si="76"/>
        <v>1</v>
      </c>
      <c r="D490" s="662"/>
      <c r="E490" s="21">
        <f t="shared" si="77"/>
        <v>1</v>
      </c>
      <c r="F490" s="662"/>
      <c r="G490" s="21">
        <f t="shared" si="78"/>
        <v>1</v>
      </c>
      <c r="H490" s="662"/>
      <c r="I490" s="21">
        <f t="shared" si="79"/>
        <v>1</v>
      </c>
      <c r="J490" s="662"/>
      <c r="K490" s="21">
        <f t="shared" si="80"/>
        <v>1</v>
      </c>
      <c r="L490" s="662"/>
      <c r="M490" s="21">
        <f t="shared" si="81"/>
        <v>1</v>
      </c>
      <c r="N490" s="662"/>
      <c r="O490" s="21">
        <f t="shared" si="82"/>
        <v>1</v>
      </c>
      <c r="P490" s="662"/>
      <c r="Q490" s="21">
        <f t="shared" si="83"/>
        <v>0.06</v>
      </c>
      <c r="R490" s="659">
        <f t="shared" si="84"/>
        <v>0</v>
      </c>
      <c r="S490" s="316">
        <f t="shared" si="75"/>
        <v>0</v>
      </c>
    </row>
    <row r="491" spans="1:19">
      <c r="A491" s="150"/>
      <c r="B491" s="54"/>
      <c r="C491" s="21">
        <f t="shared" si="76"/>
        <v>1</v>
      </c>
      <c r="D491" s="662"/>
      <c r="E491" s="21">
        <f t="shared" si="77"/>
        <v>1</v>
      </c>
      <c r="F491" s="662"/>
      <c r="G491" s="21">
        <f t="shared" si="78"/>
        <v>1</v>
      </c>
      <c r="H491" s="662"/>
      <c r="I491" s="21">
        <f t="shared" si="79"/>
        <v>1</v>
      </c>
      <c r="J491" s="662"/>
      <c r="K491" s="21">
        <f t="shared" si="80"/>
        <v>1</v>
      </c>
      <c r="L491" s="662"/>
      <c r="M491" s="21">
        <f t="shared" si="81"/>
        <v>1</v>
      </c>
      <c r="N491" s="662"/>
      <c r="O491" s="21">
        <f t="shared" si="82"/>
        <v>1</v>
      </c>
      <c r="P491" s="662"/>
      <c r="Q491" s="21">
        <f t="shared" si="83"/>
        <v>0.06</v>
      </c>
      <c r="R491" s="659">
        <f t="shared" si="84"/>
        <v>0</v>
      </c>
      <c r="S491" s="316">
        <f t="shared" si="75"/>
        <v>0</v>
      </c>
    </row>
    <row r="492" spans="1:19">
      <c r="A492" s="150"/>
      <c r="B492" s="54"/>
      <c r="C492" s="21">
        <f t="shared" si="76"/>
        <v>1</v>
      </c>
      <c r="D492" s="662"/>
      <c r="E492" s="21">
        <f t="shared" si="77"/>
        <v>1</v>
      </c>
      <c r="F492" s="662"/>
      <c r="G492" s="21">
        <f t="shared" si="78"/>
        <v>1</v>
      </c>
      <c r="H492" s="662"/>
      <c r="I492" s="21">
        <f t="shared" si="79"/>
        <v>1</v>
      </c>
      <c r="J492" s="662"/>
      <c r="K492" s="21">
        <f t="shared" si="80"/>
        <v>1</v>
      </c>
      <c r="L492" s="662"/>
      <c r="M492" s="21">
        <f t="shared" si="81"/>
        <v>1</v>
      </c>
      <c r="N492" s="662"/>
      <c r="O492" s="21">
        <f t="shared" si="82"/>
        <v>1</v>
      </c>
      <c r="P492" s="662"/>
      <c r="Q492" s="21">
        <f t="shared" si="83"/>
        <v>0.06</v>
      </c>
      <c r="R492" s="659">
        <f t="shared" si="84"/>
        <v>0</v>
      </c>
      <c r="S492" s="316">
        <f t="shared" si="75"/>
        <v>0</v>
      </c>
    </row>
    <row r="493" spans="1:19">
      <c r="A493" s="150"/>
      <c r="B493" s="54"/>
      <c r="C493" s="21">
        <f t="shared" si="76"/>
        <v>1</v>
      </c>
      <c r="D493" s="662"/>
      <c r="E493" s="21">
        <f t="shared" si="77"/>
        <v>1</v>
      </c>
      <c r="F493" s="662"/>
      <c r="G493" s="21">
        <f t="shared" si="78"/>
        <v>1</v>
      </c>
      <c r="H493" s="662"/>
      <c r="I493" s="21">
        <f t="shared" si="79"/>
        <v>1</v>
      </c>
      <c r="J493" s="662"/>
      <c r="K493" s="21">
        <f t="shared" si="80"/>
        <v>1</v>
      </c>
      <c r="L493" s="662"/>
      <c r="M493" s="21">
        <f t="shared" si="81"/>
        <v>1</v>
      </c>
      <c r="N493" s="662"/>
      <c r="O493" s="21">
        <f t="shared" si="82"/>
        <v>1</v>
      </c>
      <c r="P493" s="662"/>
      <c r="Q493" s="21">
        <f t="shared" si="83"/>
        <v>0.06</v>
      </c>
      <c r="R493" s="659">
        <f t="shared" si="84"/>
        <v>0</v>
      </c>
      <c r="S493" s="316">
        <f t="shared" si="75"/>
        <v>0</v>
      </c>
    </row>
    <row r="494" spans="1:19">
      <c r="A494" s="150"/>
      <c r="B494" s="54"/>
      <c r="C494" s="21">
        <f t="shared" si="76"/>
        <v>1</v>
      </c>
      <c r="D494" s="662"/>
      <c r="E494" s="21">
        <f t="shared" si="77"/>
        <v>1</v>
      </c>
      <c r="F494" s="662"/>
      <c r="G494" s="21">
        <f t="shared" si="78"/>
        <v>1</v>
      </c>
      <c r="H494" s="662"/>
      <c r="I494" s="21">
        <f t="shared" si="79"/>
        <v>1</v>
      </c>
      <c r="J494" s="662"/>
      <c r="K494" s="21">
        <f t="shared" si="80"/>
        <v>1</v>
      </c>
      <c r="L494" s="662"/>
      <c r="M494" s="21">
        <f t="shared" si="81"/>
        <v>1</v>
      </c>
      <c r="N494" s="662"/>
      <c r="O494" s="21">
        <f t="shared" si="82"/>
        <v>1</v>
      </c>
      <c r="P494" s="662"/>
      <c r="Q494" s="21">
        <f t="shared" si="83"/>
        <v>0.06</v>
      </c>
      <c r="R494" s="659">
        <f t="shared" si="84"/>
        <v>0</v>
      </c>
      <c r="S494" s="316">
        <f t="shared" si="75"/>
        <v>0</v>
      </c>
    </row>
    <row r="495" spans="1:19">
      <c r="A495" s="150"/>
      <c r="B495" s="54"/>
      <c r="C495" s="21">
        <f t="shared" si="76"/>
        <v>1</v>
      </c>
      <c r="D495" s="662"/>
      <c r="E495" s="21">
        <f t="shared" si="77"/>
        <v>1</v>
      </c>
      <c r="F495" s="662"/>
      <c r="G495" s="21">
        <f t="shared" si="78"/>
        <v>1</v>
      </c>
      <c r="H495" s="662"/>
      <c r="I495" s="21">
        <f t="shared" si="79"/>
        <v>1</v>
      </c>
      <c r="J495" s="662"/>
      <c r="K495" s="21">
        <f t="shared" si="80"/>
        <v>1</v>
      </c>
      <c r="L495" s="662"/>
      <c r="M495" s="21">
        <f t="shared" si="81"/>
        <v>1</v>
      </c>
      <c r="N495" s="662"/>
      <c r="O495" s="21">
        <f t="shared" si="82"/>
        <v>1</v>
      </c>
      <c r="P495" s="662"/>
      <c r="Q495" s="21">
        <f t="shared" si="83"/>
        <v>0.06</v>
      </c>
      <c r="R495" s="659">
        <f t="shared" si="84"/>
        <v>0</v>
      </c>
      <c r="S495" s="316">
        <f t="shared" si="75"/>
        <v>0</v>
      </c>
    </row>
    <row r="496" spans="1:19">
      <c r="A496" s="150"/>
      <c r="B496" s="54"/>
      <c r="C496" s="21">
        <f t="shared" si="76"/>
        <v>1</v>
      </c>
      <c r="D496" s="662"/>
      <c r="E496" s="21">
        <f t="shared" si="77"/>
        <v>1</v>
      </c>
      <c r="F496" s="662"/>
      <c r="G496" s="21">
        <f t="shared" si="78"/>
        <v>1</v>
      </c>
      <c r="H496" s="662"/>
      <c r="I496" s="21">
        <f t="shared" si="79"/>
        <v>1</v>
      </c>
      <c r="J496" s="662"/>
      <c r="K496" s="21">
        <f t="shared" si="80"/>
        <v>1</v>
      </c>
      <c r="L496" s="662"/>
      <c r="M496" s="21">
        <f t="shared" si="81"/>
        <v>1</v>
      </c>
      <c r="N496" s="662"/>
      <c r="O496" s="21">
        <f t="shared" si="82"/>
        <v>1</v>
      </c>
      <c r="P496" s="662"/>
      <c r="Q496" s="21">
        <f t="shared" si="83"/>
        <v>0.06</v>
      </c>
      <c r="R496" s="659">
        <f t="shared" si="84"/>
        <v>0</v>
      </c>
      <c r="S496" s="316">
        <f t="shared" si="75"/>
        <v>0</v>
      </c>
    </row>
    <row r="497" spans="1:19">
      <c r="A497" s="150"/>
      <c r="B497" s="54"/>
      <c r="C497" s="21">
        <f t="shared" si="76"/>
        <v>1</v>
      </c>
      <c r="D497" s="662"/>
      <c r="E497" s="21">
        <f t="shared" si="77"/>
        <v>1</v>
      </c>
      <c r="F497" s="662"/>
      <c r="G497" s="21">
        <f t="shared" si="78"/>
        <v>1</v>
      </c>
      <c r="H497" s="662"/>
      <c r="I497" s="21">
        <f t="shared" si="79"/>
        <v>1</v>
      </c>
      <c r="J497" s="662"/>
      <c r="K497" s="21">
        <f t="shared" si="80"/>
        <v>1</v>
      </c>
      <c r="L497" s="662"/>
      <c r="M497" s="21">
        <f t="shared" si="81"/>
        <v>1</v>
      </c>
      <c r="N497" s="662"/>
      <c r="O497" s="21">
        <f t="shared" si="82"/>
        <v>1</v>
      </c>
      <c r="P497" s="662"/>
      <c r="Q497" s="21">
        <f t="shared" si="83"/>
        <v>0.06</v>
      </c>
      <c r="R497" s="659">
        <f t="shared" si="84"/>
        <v>0</v>
      </c>
      <c r="S497" s="316">
        <f t="shared" si="75"/>
        <v>0</v>
      </c>
    </row>
    <row r="498" spans="1:19">
      <c r="A498" s="150"/>
      <c r="B498" s="54"/>
      <c r="C498" s="21">
        <f t="shared" si="76"/>
        <v>1</v>
      </c>
      <c r="D498" s="662"/>
      <c r="E498" s="21">
        <f t="shared" si="77"/>
        <v>1</v>
      </c>
      <c r="F498" s="662"/>
      <c r="G498" s="21">
        <f t="shared" si="78"/>
        <v>1</v>
      </c>
      <c r="H498" s="662"/>
      <c r="I498" s="21">
        <f t="shared" si="79"/>
        <v>1</v>
      </c>
      <c r="J498" s="662"/>
      <c r="K498" s="21">
        <f t="shared" si="80"/>
        <v>1</v>
      </c>
      <c r="L498" s="662"/>
      <c r="M498" s="21">
        <f t="shared" si="81"/>
        <v>1</v>
      </c>
      <c r="N498" s="662"/>
      <c r="O498" s="21">
        <f t="shared" si="82"/>
        <v>1</v>
      </c>
      <c r="P498" s="662"/>
      <c r="Q498" s="21">
        <f t="shared" si="83"/>
        <v>0.06</v>
      </c>
      <c r="R498" s="659">
        <f t="shared" si="84"/>
        <v>0</v>
      </c>
      <c r="S498" s="316">
        <f t="shared" si="75"/>
        <v>0</v>
      </c>
    </row>
    <row r="499" spans="1:19">
      <c r="A499" s="150"/>
      <c r="B499" s="54"/>
      <c r="C499" s="21">
        <f t="shared" si="76"/>
        <v>1</v>
      </c>
      <c r="D499" s="662"/>
      <c r="E499" s="21">
        <f t="shared" si="77"/>
        <v>1</v>
      </c>
      <c r="F499" s="662"/>
      <c r="G499" s="21">
        <f t="shared" si="78"/>
        <v>1</v>
      </c>
      <c r="H499" s="662"/>
      <c r="I499" s="21">
        <f t="shared" si="79"/>
        <v>1</v>
      </c>
      <c r="J499" s="662"/>
      <c r="K499" s="21">
        <f t="shared" si="80"/>
        <v>1</v>
      </c>
      <c r="L499" s="662"/>
      <c r="M499" s="21">
        <f t="shared" si="81"/>
        <v>1</v>
      </c>
      <c r="N499" s="662"/>
      <c r="O499" s="21">
        <f t="shared" si="82"/>
        <v>1</v>
      </c>
      <c r="P499" s="662"/>
      <c r="Q499" s="21">
        <f t="shared" si="83"/>
        <v>0.06</v>
      </c>
      <c r="R499" s="659">
        <f t="shared" si="84"/>
        <v>0</v>
      </c>
      <c r="S499" s="316">
        <f t="shared" si="75"/>
        <v>0</v>
      </c>
    </row>
    <row r="500" spans="1:19">
      <c r="A500" s="150"/>
      <c r="B500" s="54"/>
      <c r="C500" s="21">
        <f t="shared" si="76"/>
        <v>1</v>
      </c>
      <c r="D500" s="662"/>
      <c r="E500" s="21">
        <f t="shared" si="77"/>
        <v>1</v>
      </c>
      <c r="F500" s="662"/>
      <c r="G500" s="21">
        <f t="shared" si="78"/>
        <v>1</v>
      </c>
      <c r="H500" s="662"/>
      <c r="I500" s="21">
        <f t="shared" si="79"/>
        <v>1</v>
      </c>
      <c r="J500" s="662"/>
      <c r="K500" s="21">
        <f t="shared" si="80"/>
        <v>1</v>
      </c>
      <c r="L500" s="662"/>
      <c r="M500" s="21">
        <f t="shared" si="81"/>
        <v>1</v>
      </c>
      <c r="N500" s="662"/>
      <c r="O500" s="21">
        <f t="shared" si="82"/>
        <v>1</v>
      </c>
      <c r="P500" s="662"/>
      <c r="Q500" s="21">
        <f t="shared" si="83"/>
        <v>0.06</v>
      </c>
      <c r="R500" s="659">
        <f t="shared" si="84"/>
        <v>0</v>
      </c>
      <c r="S500" s="316">
        <f t="shared" si="75"/>
        <v>0</v>
      </c>
    </row>
    <row r="501" spans="1:19">
      <c r="A501" s="150"/>
      <c r="B501" s="54"/>
      <c r="C501" s="21">
        <f t="shared" si="76"/>
        <v>1</v>
      </c>
      <c r="D501" s="662"/>
      <c r="E501" s="21">
        <f t="shared" si="77"/>
        <v>1</v>
      </c>
      <c r="F501" s="662"/>
      <c r="G501" s="21">
        <f t="shared" si="78"/>
        <v>1</v>
      </c>
      <c r="H501" s="662"/>
      <c r="I501" s="21">
        <f t="shared" si="79"/>
        <v>1</v>
      </c>
      <c r="J501" s="662"/>
      <c r="K501" s="21">
        <f t="shared" si="80"/>
        <v>1</v>
      </c>
      <c r="L501" s="662"/>
      <c r="M501" s="21">
        <f t="shared" si="81"/>
        <v>1</v>
      </c>
      <c r="N501" s="662"/>
      <c r="O501" s="21">
        <f t="shared" si="82"/>
        <v>1</v>
      </c>
      <c r="P501" s="662"/>
      <c r="Q501" s="21">
        <f t="shared" si="83"/>
        <v>0.06</v>
      </c>
      <c r="R501" s="659">
        <f t="shared" si="84"/>
        <v>0</v>
      </c>
      <c r="S501" s="316">
        <f t="shared" si="75"/>
        <v>0</v>
      </c>
    </row>
    <row r="502" spans="1:19">
      <c r="A502" s="150"/>
      <c r="B502" s="54"/>
      <c r="C502" s="21">
        <f t="shared" si="76"/>
        <v>1</v>
      </c>
      <c r="D502" s="662"/>
      <c r="E502" s="21">
        <f t="shared" si="77"/>
        <v>1</v>
      </c>
      <c r="F502" s="662"/>
      <c r="G502" s="21">
        <f t="shared" si="78"/>
        <v>1</v>
      </c>
      <c r="H502" s="662"/>
      <c r="I502" s="21">
        <f t="shared" si="79"/>
        <v>1</v>
      </c>
      <c r="J502" s="662"/>
      <c r="K502" s="21">
        <f t="shared" si="80"/>
        <v>1</v>
      </c>
      <c r="L502" s="662"/>
      <c r="M502" s="21">
        <f t="shared" si="81"/>
        <v>1</v>
      </c>
      <c r="N502" s="662"/>
      <c r="O502" s="21">
        <f t="shared" si="82"/>
        <v>1</v>
      </c>
      <c r="P502" s="662"/>
      <c r="Q502" s="21">
        <f t="shared" si="83"/>
        <v>0.06</v>
      </c>
      <c r="R502" s="659">
        <f t="shared" si="84"/>
        <v>0</v>
      </c>
      <c r="S502" s="316">
        <f t="shared" si="75"/>
        <v>0</v>
      </c>
    </row>
    <row r="503" spans="1:19">
      <c r="A503" s="150"/>
      <c r="B503" s="54"/>
      <c r="C503" s="21">
        <f t="shared" si="76"/>
        <v>1</v>
      </c>
      <c r="D503" s="662"/>
      <c r="E503" s="21">
        <f t="shared" si="77"/>
        <v>1</v>
      </c>
      <c r="F503" s="662"/>
      <c r="G503" s="21">
        <f t="shared" si="78"/>
        <v>1</v>
      </c>
      <c r="H503" s="662"/>
      <c r="I503" s="21">
        <f t="shared" si="79"/>
        <v>1</v>
      </c>
      <c r="J503" s="662"/>
      <c r="K503" s="21">
        <f t="shared" si="80"/>
        <v>1</v>
      </c>
      <c r="L503" s="662"/>
      <c r="M503" s="21">
        <f t="shared" si="81"/>
        <v>1</v>
      </c>
      <c r="N503" s="662"/>
      <c r="O503" s="21">
        <f t="shared" si="82"/>
        <v>1</v>
      </c>
      <c r="P503" s="662"/>
      <c r="Q503" s="21">
        <f t="shared" si="83"/>
        <v>0.06</v>
      </c>
      <c r="R503" s="659">
        <f t="shared" si="84"/>
        <v>0</v>
      </c>
      <c r="S503" s="316">
        <f t="shared" si="75"/>
        <v>0</v>
      </c>
    </row>
    <row r="504" spans="1:19">
      <c r="A504" s="150"/>
      <c r="B504" s="54"/>
      <c r="C504" s="21">
        <f t="shared" si="76"/>
        <v>1</v>
      </c>
      <c r="D504" s="662"/>
      <c r="E504" s="21">
        <f t="shared" si="77"/>
        <v>1</v>
      </c>
      <c r="F504" s="662"/>
      <c r="G504" s="21">
        <f t="shared" si="78"/>
        <v>1</v>
      </c>
      <c r="H504" s="662"/>
      <c r="I504" s="21">
        <f t="shared" si="79"/>
        <v>1</v>
      </c>
      <c r="J504" s="662"/>
      <c r="K504" s="21">
        <f t="shared" si="80"/>
        <v>1</v>
      </c>
      <c r="L504" s="662"/>
      <c r="M504" s="21">
        <f t="shared" si="81"/>
        <v>1</v>
      </c>
      <c r="N504" s="662"/>
      <c r="O504" s="21">
        <f t="shared" si="82"/>
        <v>1</v>
      </c>
      <c r="P504" s="662"/>
      <c r="Q504" s="21">
        <f t="shared" si="83"/>
        <v>0.06</v>
      </c>
      <c r="R504" s="659">
        <f t="shared" si="84"/>
        <v>0</v>
      </c>
      <c r="S504" s="316">
        <f t="shared" si="75"/>
        <v>0</v>
      </c>
    </row>
    <row r="505" spans="1:19">
      <c r="A505" s="150"/>
      <c r="B505" s="54"/>
      <c r="C505" s="21">
        <f t="shared" si="76"/>
        <v>1</v>
      </c>
      <c r="D505" s="662"/>
      <c r="E505" s="21">
        <f t="shared" si="77"/>
        <v>1</v>
      </c>
      <c r="F505" s="662"/>
      <c r="G505" s="21">
        <f t="shared" si="78"/>
        <v>1</v>
      </c>
      <c r="H505" s="662"/>
      <c r="I505" s="21">
        <f t="shared" si="79"/>
        <v>1</v>
      </c>
      <c r="J505" s="662"/>
      <c r="K505" s="21">
        <f t="shared" si="80"/>
        <v>1</v>
      </c>
      <c r="L505" s="662"/>
      <c r="M505" s="21">
        <f t="shared" si="81"/>
        <v>1</v>
      </c>
      <c r="N505" s="662"/>
      <c r="O505" s="21">
        <f t="shared" si="82"/>
        <v>1</v>
      </c>
      <c r="P505" s="662"/>
      <c r="Q505" s="21">
        <f t="shared" si="83"/>
        <v>0.06</v>
      </c>
      <c r="R505" s="659">
        <f t="shared" si="84"/>
        <v>0</v>
      </c>
      <c r="S505" s="316">
        <f t="shared" si="75"/>
        <v>0</v>
      </c>
    </row>
    <row r="506" spans="1:19">
      <c r="A506" s="150"/>
      <c r="B506" s="54"/>
      <c r="C506" s="21">
        <f t="shared" si="76"/>
        <v>1</v>
      </c>
      <c r="D506" s="662"/>
      <c r="E506" s="21">
        <f t="shared" si="77"/>
        <v>1</v>
      </c>
      <c r="F506" s="662"/>
      <c r="G506" s="21">
        <f t="shared" si="78"/>
        <v>1</v>
      </c>
      <c r="H506" s="662"/>
      <c r="I506" s="21">
        <f t="shared" si="79"/>
        <v>1</v>
      </c>
      <c r="J506" s="662"/>
      <c r="K506" s="21">
        <f t="shared" si="80"/>
        <v>1</v>
      </c>
      <c r="L506" s="662"/>
      <c r="M506" s="21">
        <f t="shared" si="81"/>
        <v>1</v>
      </c>
      <c r="N506" s="662"/>
      <c r="O506" s="21">
        <f t="shared" si="82"/>
        <v>1</v>
      </c>
      <c r="P506" s="662"/>
      <c r="Q506" s="21">
        <f t="shared" si="83"/>
        <v>0.06</v>
      </c>
      <c r="R506" s="659">
        <f t="shared" si="84"/>
        <v>0</v>
      </c>
      <c r="S506" s="316">
        <f t="shared" si="75"/>
        <v>0</v>
      </c>
    </row>
    <row r="507" spans="1:19">
      <c r="A507" s="150"/>
      <c r="B507" s="54"/>
      <c r="C507" s="21">
        <f t="shared" si="76"/>
        <v>1</v>
      </c>
      <c r="D507" s="662"/>
      <c r="E507" s="21">
        <f t="shared" si="77"/>
        <v>1</v>
      </c>
      <c r="F507" s="662"/>
      <c r="G507" s="21">
        <f t="shared" si="78"/>
        <v>1</v>
      </c>
      <c r="H507" s="662"/>
      <c r="I507" s="21">
        <f t="shared" si="79"/>
        <v>1</v>
      </c>
      <c r="J507" s="662"/>
      <c r="K507" s="21">
        <f t="shared" si="80"/>
        <v>1</v>
      </c>
      <c r="L507" s="662"/>
      <c r="M507" s="21">
        <f t="shared" si="81"/>
        <v>1</v>
      </c>
      <c r="N507" s="662"/>
      <c r="O507" s="21">
        <f t="shared" si="82"/>
        <v>1</v>
      </c>
      <c r="P507" s="662"/>
      <c r="Q507" s="21">
        <f t="shared" si="83"/>
        <v>0.06</v>
      </c>
      <c r="R507" s="659">
        <f t="shared" si="84"/>
        <v>0</v>
      </c>
      <c r="S507" s="316">
        <f t="shared" si="75"/>
        <v>0</v>
      </c>
    </row>
    <row r="508" spans="1:19">
      <c r="A508" s="150"/>
      <c r="B508" s="54"/>
      <c r="C508" s="21">
        <f t="shared" si="76"/>
        <v>1</v>
      </c>
      <c r="D508" s="662"/>
      <c r="E508" s="21">
        <f t="shared" si="77"/>
        <v>1</v>
      </c>
      <c r="F508" s="662"/>
      <c r="G508" s="21">
        <f t="shared" si="78"/>
        <v>1</v>
      </c>
      <c r="H508" s="662"/>
      <c r="I508" s="21">
        <f t="shared" si="79"/>
        <v>1</v>
      </c>
      <c r="J508" s="662"/>
      <c r="K508" s="21">
        <f t="shared" si="80"/>
        <v>1</v>
      </c>
      <c r="L508" s="662"/>
      <c r="M508" s="21">
        <f t="shared" si="81"/>
        <v>1</v>
      </c>
      <c r="N508" s="662"/>
      <c r="O508" s="21">
        <f t="shared" si="82"/>
        <v>1</v>
      </c>
      <c r="P508" s="662"/>
      <c r="Q508" s="21">
        <f t="shared" si="83"/>
        <v>0.06</v>
      </c>
      <c r="R508" s="659">
        <f t="shared" si="84"/>
        <v>0</v>
      </c>
      <c r="S508" s="316">
        <f t="shared" si="75"/>
        <v>0</v>
      </c>
    </row>
    <row r="509" spans="1:19">
      <c r="A509" s="150"/>
      <c r="B509" s="54"/>
      <c r="C509" s="21">
        <f t="shared" si="76"/>
        <v>1</v>
      </c>
      <c r="D509" s="662"/>
      <c r="E509" s="21">
        <f t="shared" si="77"/>
        <v>1</v>
      </c>
      <c r="F509" s="662"/>
      <c r="G509" s="21">
        <f t="shared" si="78"/>
        <v>1</v>
      </c>
      <c r="H509" s="662"/>
      <c r="I509" s="21">
        <f t="shared" si="79"/>
        <v>1</v>
      </c>
      <c r="J509" s="662"/>
      <c r="K509" s="21">
        <f t="shared" si="80"/>
        <v>1</v>
      </c>
      <c r="L509" s="662"/>
      <c r="M509" s="21">
        <f t="shared" si="81"/>
        <v>1</v>
      </c>
      <c r="N509" s="662"/>
      <c r="O509" s="21">
        <f t="shared" si="82"/>
        <v>1</v>
      </c>
      <c r="P509" s="662"/>
      <c r="Q509" s="21">
        <f t="shared" si="83"/>
        <v>0.06</v>
      </c>
      <c r="R509" s="659">
        <f t="shared" si="84"/>
        <v>0</v>
      </c>
      <c r="S509" s="316">
        <f t="shared" si="75"/>
        <v>0</v>
      </c>
    </row>
    <row r="510" spans="1:19">
      <c r="A510" s="150"/>
      <c r="B510" s="54"/>
      <c r="C510" s="21">
        <f t="shared" si="76"/>
        <v>1</v>
      </c>
      <c r="D510" s="662"/>
      <c r="E510" s="21">
        <f t="shared" si="77"/>
        <v>1</v>
      </c>
      <c r="F510" s="662"/>
      <c r="G510" s="21">
        <f t="shared" si="78"/>
        <v>1</v>
      </c>
      <c r="H510" s="662"/>
      <c r="I510" s="21">
        <f t="shared" si="79"/>
        <v>1</v>
      </c>
      <c r="J510" s="662"/>
      <c r="K510" s="21">
        <f t="shared" si="80"/>
        <v>1</v>
      </c>
      <c r="L510" s="662"/>
      <c r="M510" s="21">
        <f t="shared" si="81"/>
        <v>1</v>
      </c>
      <c r="N510" s="662"/>
      <c r="O510" s="21">
        <f t="shared" si="82"/>
        <v>1</v>
      </c>
      <c r="P510" s="662"/>
      <c r="Q510" s="21">
        <f t="shared" si="83"/>
        <v>0.06</v>
      </c>
      <c r="R510" s="659">
        <f t="shared" si="84"/>
        <v>0</v>
      </c>
      <c r="S510" s="316">
        <f t="shared" si="75"/>
        <v>0</v>
      </c>
    </row>
    <row r="511" spans="1:19">
      <c r="A511" s="150"/>
      <c r="B511" s="54"/>
      <c r="C511" s="21">
        <f t="shared" si="76"/>
        <v>1</v>
      </c>
      <c r="D511" s="662"/>
      <c r="E511" s="21">
        <f t="shared" si="77"/>
        <v>1</v>
      </c>
      <c r="F511" s="662"/>
      <c r="G511" s="21">
        <f t="shared" si="78"/>
        <v>1</v>
      </c>
      <c r="H511" s="662"/>
      <c r="I511" s="21">
        <f t="shared" si="79"/>
        <v>1</v>
      </c>
      <c r="J511" s="662"/>
      <c r="K511" s="21">
        <f t="shared" si="80"/>
        <v>1</v>
      </c>
      <c r="L511" s="662"/>
      <c r="M511" s="21">
        <f t="shared" si="81"/>
        <v>1</v>
      </c>
      <c r="N511" s="662"/>
      <c r="O511" s="21">
        <f t="shared" si="82"/>
        <v>1</v>
      </c>
      <c r="P511" s="662"/>
      <c r="Q511" s="21">
        <f t="shared" si="83"/>
        <v>0.06</v>
      </c>
      <c r="R511" s="659">
        <f t="shared" si="84"/>
        <v>0</v>
      </c>
      <c r="S511" s="316">
        <f t="shared" si="75"/>
        <v>0</v>
      </c>
    </row>
    <row r="512" spans="1:19">
      <c r="A512" s="150"/>
      <c r="B512" s="54"/>
      <c r="C512" s="21">
        <f t="shared" si="76"/>
        <v>1</v>
      </c>
      <c r="D512" s="662"/>
      <c r="E512" s="21">
        <f t="shared" si="77"/>
        <v>1</v>
      </c>
      <c r="F512" s="662"/>
      <c r="G512" s="21">
        <f t="shared" si="78"/>
        <v>1</v>
      </c>
      <c r="H512" s="662"/>
      <c r="I512" s="21">
        <f t="shared" si="79"/>
        <v>1</v>
      </c>
      <c r="J512" s="662"/>
      <c r="K512" s="21">
        <f t="shared" si="80"/>
        <v>1</v>
      </c>
      <c r="L512" s="662"/>
      <c r="M512" s="21">
        <f t="shared" si="81"/>
        <v>1</v>
      </c>
      <c r="N512" s="662"/>
      <c r="O512" s="21">
        <f t="shared" si="82"/>
        <v>1</v>
      </c>
      <c r="P512" s="662"/>
      <c r="Q512" s="21">
        <f t="shared" si="83"/>
        <v>0.06</v>
      </c>
      <c r="R512" s="659">
        <f t="shared" si="84"/>
        <v>0</v>
      </c>
      <c r="S512" s="316">
        <f t="shared" si="75"/>
        <v>0</v>
      </c>
    </row>
    <row r="513" spans="1:19">
      <c r="A513" s="150"/>
      <c r="B513" s="54"/>
      <c r="C513" s="21">
        <f t="shared" si="76"/>
        <v>1</v>
      </c>
      <c r="D513" s="662"/>
      <c r="E513" s="21">
        <f t="shared" si="77"/>
        <v>1</v>
      </c>
      <c r="F513" s="662"/>
      <c r="G513" s="21">
        <f t="shared" si="78"/>
        <v>1</v>
      </c>
      <c r="H513" s="662"/>
      <c r="I513" s="21">
        <f t="shared" si="79"/>
        <v>1</v>
      </c>
      <c r="J513" s="662"/>
      <c r="K513" s="21">
        <f t="shared" si="80"/>
        <v>1</v>
      </c>
      <c r="L513" s="662"/>
      <c r="M513" s="21">
        <f t="shared" si="81"/>
        <v>1</v>
      </c>
      <c r="N513" s="662"/>
      <c r="O513" s="21">
        <f t="shared" si="82"/>
        <v>1</v>
      </c>
      <c r="P513" s="662"/>
      <c r="Q513" s="21">
        <f t="shared" si="83"/>
        <v>0.06</v>
      </c>
      <c r="R513" s="659">
        <f t="shared" si="84"/>
        <v>0</v>
      </c>
      <c r="S513" s="316">
        <f t="shared" si="75"/>
        <v>0</v>
      </c>
    </row>
    <row r="514" spans="1:19">
      <c r="A514" s="150"/>
      <c r="B514" s="54"/>
      <c r="C514" s="21">
        <f t="shared" si="76"/>
        <v>1</v>
      </c>
      <c r="D514" s="662"/>
      <c r="E514" s="21">
        <f t="shared" si="77"/>
        <v>1</v>
      </c>
      <c r="F514" s="662"/>
      <c r="G514" s="21">
        <f t="shared" si="78"/>
        <v>1</v>
      </c>
      <c r="H514" s="662"/>
      <c r="I514" s="21">
        <f t="shared" si="79"/>
        <v>1</v>
      </c>
      <c r="J514" s="662"/>
      <c r="K514" s="21">
        <f t="shared" si="80"/>
        <v>1</v>
      </c>
      <c r="L514" s="662"/>
      <c r="M514" s="21">
        <f t="shared" si="81"/>
        <v>1</v>
      </c>
      <c r="N514" s="662"/>
      <c r="O514" s="21">
        <f t="shared" si="82"/>
        <v>1</v>
      </c>
      <c r="P514" s="662"/>
      <c r="Q514" s="21">
        <f t="shared" si="83"/>
        <v>0.06</v>
      </c>
      <c r="R514" s="659">
        <f t="shared" si="84"/>
        <v>0</v>
      </c>
      <c r="S514" s="316">
        <f t="shared" si="75"/>
        <v>0</v>
      </c>
    </row>
    <row r="515" spans="1:19">
      <c r="A515" s="150"/>
      <c r="B515" s="54"/>
      <c r="C515" s="21">
        <f t="shared" si="76"/>
        <v>1</v>
      </c>
      <c r="D515" s="662"/>
      <c r="E515" s="21">
        <f t="shared" si="77"/>
        <v>1</v>
      </c>
      <c r="F515" s="662"/>
      <c r="G515" s="21">
        <f t="shared" si="78"/>
        <v>1</v>
      </c>
      <c r="H515" s="662"/>
      <c r="I515" s="21">
        <f t="shared" si="79"/>
        <v>1</v>
      </c>
      <c r="J515" s="662"/>
      <c r="K515" s="21">
        <f t="shared" si="80"/>
        <v>1</v>
      </c>
      <c r="L515" s="662"/>
      <c r="M515" s="21">
        <f t="shared" si="81"/>
        <v>1</v>
      </c>
      <c r="N515" s="662"/>
      <c r="O515" s="21">
        <f t="shared" si="82"/>
        <v>1</v>
      </c>
      <c r="P515" s="662"/>
      <c r="Q515" s="21">
        <f t="shared" si="83"/>
        <v>0.06</v>
      </c>
      <c r="R515" s="659">
        <f t="shared" si="84"/>
        <v>0</v>
      </c>
      <c r="S515" s="316">
        <f t="shared" si="75"/>
        <v>0</v>
      </c>
    </row>
    <row r="516" spans="1:19">
      <c r="A516" s="150"/>
      <c r="B516" s="54"/>
      <c r="C516" s="21">
        <f t="shared" si="76"/>
        <v>1</v>
      </c>
      <c r="D516" s="662"/>
      <c r="E516" s="21">
        <f t="shared" si="77"/>
        <v>1</v>
      </c>
      <c r="F516" s="662"/>
      <c r="G516" s="21">
        <f t="shared" si="78"/>
        <v>1</v>
      </c>
      <c r="H516" s="662"/>
      <c r="I516" s="21">
        <f t="shared" si="79"/>
        <v>1</v>
      </c>
      <c r="J516" s="662"/>
      <c r="K516" s="21">
        <f t="shared" si="80"/>
        <v>1</v>
      </c>
      <c r="L516" s="662"/>
      <c r="M516" s="21">
        <f t="shared" si="81"/>
        <v>1</v>
      </c>
      <c r="N516" s="662"/>
      <c r="O516" s="21">
        <f t="shared" si="82"/>
        <v>1</v>
      </c>
      <c r="P516" s="662"/>
      <c r="Q516" s="21">
        <f t="shared" si="83"/>
        <v>0.06</v>
      </c>
      <c r="R516" s="659">
        <f t="shared" si="84"/>
        <v>0</v>
      </c>
      <c r="S516" s="316">
        <f t="shared" si="75"/>
        <v>0</v>
      </c>
    </row>
    <row r="517" spans="1:19">
      <c r="A517" s="150"/>
      <c r="B517" s="54"/>
      <c r="C517" s="21">
        <f t="shared" si="76"/>
        <v>1</v>
      </c>
      <c r="D517" s="662"/>
      <c r="E517" s="21">
        <f t="shared" si="77"/>
        <v>1</v>
      </c>
      <c r="F517" s="662"/>
      <c r="G517" s="21">
        <f t="shared" si="78"/>
        <v>1</v>
      </c>
      <c r="H517" s="662"/>
      <c r="I517" s="21">
        <f t="shared" si="79"/>
        <v>1</v>
      </c>
      <c r="J517" s="662"/>
      <c r="K517" s="21">
        <f t="shared" si="80"/>
        <v>1</v>
      </c>
      <c r="L517" s="662"/>
      <c r="M517" s="21">
        <f t="shared" si="81"/>
        <v>1</v>
      </c>
      <c r="N517" s="662"/>
      <c r="O517" s="21">
        <f t="shared" si="82"/>
        <v>1</v>
      </c>
      <c r="P517" s="662"/>
      <c r="Q517" s="21">
        <f t="shared" si="83"/>
        <v>0.06</v>
      </c>
      <c r="R517" s="659">
        <f t="shared" si="84"/>
        <v>0</v>
      </c>
      <c r="S517" s="316">
        <f t="shared" si="75"/>
        <v>0</v>
      </c>
    </row>
    <row r="518" spans="1:19">
      <c r="A518" s="150"/>
      <c r="B518" s="54"/>
      <c r="C518" s="21">
        <f t="shared" si="76"/>
        <v>1</v>
      </c>
      <c r="D518" s="662"/>
      <c r="E518" s="21">
        <f t="shared" si="77"/>
        <v>1</v>
      </c>
      <c r="F518" s="662"/>
      <c r="G518" s="21">
        <f t="shared" si="78"/>
        <v>1</v>
      </c>
      <c r="H518" s="662"/>
      <c r="I518" s="21">
        <f t="shared" si="79"/>
        <v>1</v>
      </c>
      <c r="J518" s="662"/>
      <c r="K518" s="21">
        <f t="shared" si="80"/>
        <v>1</v>
      </c>
      <c r="L518" s="662"/>
      <c r="M518" s="21">
        <f t="shared" si="81"/>
        <v>1</v>
      </c>
      <c r="N518" s="662"/>
      <c r="O518" s="21">
        <f t="shared" si="82"/>
        <v>1</v>
      </c>
      <c r="P518" s="662"/>
      <c r="Q518" s="21">
        <f t="shared" si="83"/>
        <v>0.06</v>
      </c>
      <c r="R518" s="659">
        <f t="shared" si="84"/>
        <v>0</v>
      </c>
      <c r="S518" s="316">
        <f t="shared" si="75"/>
        <v>0</v>
      </c>
    </row>
    <row r="519" spans="1:19">
      <c r="A519" s="150"/>
      <c r="B519" s="54"/>
      <c r="C519" s="21">
        <f t="shared" si="76"/>
        <v>1</v>
      </c>
      <c r="D519" s="662"/>
      <c r="E519" s="21">
        <f t="shared" si="77"/>
        <v>1</v>
      </c>
      <c r="F519" s="662"/>
      <c r="G519" s="21">
        <f t="shared" si="78"/>
        <v>1</v>
      </c>
      <c r="H519" s="662"/>
      <c r="I519" s="21">
        <f t="shared" si="79"/>
        <v>1</v>
      </c>
      <c r="J519" s="662"/>
      <c r="K519" s="21">
        <f t="shared" si="80"/>
        <v>1</v>
      </c>
      <c r="L519" s="662"/>
      <c r="M519" s="21">
        <f t="shared" si="81"/>
        <v>1</v>
      </c>
      <c r="N519" s="662"/>
      <c r="O519" s="21">
        <f t="shared" si="82"/>
        <v>1</v>
      </c>
      <c r="P519" s="662"/>
      <c r="Q519" s="21">
        <f t="shared" si="83"/>
        <v>0.06</v>
      </c>
      <c r="R519" s="659">
        <f t="shared" si="84"/>
        <v>0</v>
      </c>
      <c r="S519" s="316">
        <f t="shared" si="75"/>
        <v>0</v>
      </c>
    </row>
    <row r="520" spans="1:19">
      <c r="A520" s="150"/>
      <c r="B520" s="54"/>
      <c r="C520" s="21">
        <f t="shared" si="76"/>
        <v>1</v>
      </c>
      <c r="D520" s="662"/>
      <c r="E520" s="21">
        <f t="shared" si="77"/>
        <v>1</v>
      </c>
      <c r="F520" s="662"/>
      <c r="G520" s="21">
        <f t="shared" si="78"/>
        <v>1</v>
      </c>
      <c r="H520" s="662"/>
      <c r="I520" s="21">
        <f t="shared" si="79"/>
        <v>1</v>
      </c>
      <c r="J520" s="662"/>
      <c r="K520" s="21">
        <f t="shared" si="80"/>
        <v>1</v>
      </c>
      <c r="L520" s="662"/>
      <c r="M520" s="21">
        <f t="shared" si="81"/>
        <v>1</v>
      </c>
      <c r="N520" s="662"/>
      <c r="O520" s="21">
        <f t="shared" si="82"/>
        <v>1</v>
      </c>
      <c r="P520" s="662"/>
      <c r="Q520" s="21">
        <f t="shared" si="83"/>
        <v>0.06</v>
      </c>
      <c r="R520" s="659">
        <f t="shared" si="84"/>
        <v>0</v>
      </c>
      <c r="S520" s="316">
        <f t="shared" si="75"/>
        <v>0</v>
      </c>
    </row>
    <row r="521" spans="1:19">
      <c r="A521" s="150"/>
      <c r="B521" s="54"/>
      <c r="C521" s="21">
        <f t="shared" si="76"/>
        <v>1</v>
      </c>
      <c r="D521" s="662"/>
      <c r="E521" s="21">
        <f t="shared" si="77"/>
        <v>1</v>
      </c>
      <c r="F521" s="662"/>
      <c r="G521" s="21">
        <f t="shared" si="78"/>
        <v>1</v>
      </c>
      <c r="H521" s="662"/>
      <c r="I521" s="21">
        <f t="shared" si="79"/>
        <v>1</v>
      </c>
      <c r="J521" s="662"/>
      <c r="K521" s="21">
        <f t="shared" si="80"/>
        <v>1</v>
      </c>
      <c r="L521" s="662"/>
      <c r="M521" s="21">
        <f t="shared" si="81"/>
        <v>1</v>
      </c>
      <c r="N521" s="662"/>
      <c r="O521" s="21">
        <f t="shared" si="82"/>
        <v>1</v>
      </c>
      <c r="P521" s="662"/>
      <c r="Q521" s="21">
        <f t="shared" si="83"/>
        <v>0.06</v>
      </c>
      <c r="R521" s="659">
        <f t="shared" si="84"/>
        <v>0</v>
      </c>
      <c r="S521" s="316">
        <f t="shared" si="75"/>
        <v>0</v>
      </c>
    </row>
    <row r="522" spans="1:19">
      <c r="A522" s="150"/>
      <c r="B522" s="54"/>
      <c r="C522" s="21">
        <f t="shared" si="76"/>
        <v>1</v>
      </c>
      <c r="D522" s="662"/>
      <c r="E522" s="21">
        <f t="shared" si="77"/>
        <v>1</v>
      </c>
      <c r="F522" s="662"/>
      <c r="G522" s="21">
        <f t="shared" si="78"/>
        <v>1</v>
      </c>
      <c r="H522" s="662"/>
      <c r="I522" s="21">
        <f t="shared" si="79"/>
        <v>1</v>
      </c>
      <c r="J522" s="662"/>
      <c r="K522" s="21">
        <f t="shared" si="80"/>
        <v>1</v>
      </c>
      <c r="L522" s="662"/>
      <c r="M522" s="21">
        <f t="shared" si="81"/>
        <v>1</v>
      </c>
      <c r="N522" s="662"/>
      <c r="O522" s="21">
        <f t="shared" si="82"/>
        <v>1</v>
      </c>
      <c r="P522" s="662"/>
      <c r="Q522" s="21">
        <f t="shared" si="83"/>
        <v>0.06</v>
      </c>
      <c r="R522" s="659">
        <f t="shared" si="84"/>
        <v>0</v>
      </c>
      <c r="S522" s="316">
        <f t="shared" si="75"/>
        <v>0</v>
      </c>
    </row>
    <row r="523" spans="1:19">
      <c r="A523" s="150"/>
      <c r="B523" s="54"/>
      <c r="C523" s="21">
        <f t="shared" si="76"/>
        <v>1</v>
      </c>
      <c r="D523" s="662"/>
      <c r="E523" s="21">
        <f t="shared" si="77"/>
        <v>1</v>
      </c>
      <c r="F523" s="662"/>
      <c r="G523" s="21">
        <f t="shared" si="78"/>
        <v>1</v>
      </c>
      <c r="H523" s="662"/>
      <c r="I523" s="21">
        <f t="shared" si="79"/>
        <v>1</v>
      </c>
      <c r="J523" s="662"/>
      <c r="K523" s="21">
        <f t="shared" si="80"/>
        <v>1</v>
      </c>
      <c r="L523" s="662"/>
      <c r="M523" s="21">
        <f t="shared" si="81"/>
        <v>1</v>
      </c>
      <c r="N523" s="662"/>
      <c r="O523" s="21">
        <f t="shared" si="82"/>
        <v>1</v>
      </c>
      <c r="P523" s="662"/>
      <c r="Q523" s="21">
        <f t="shared" si="83"/>
        <v>0.06</v>
      </c>
      <c r="R523" s="659">
        <f t="shared" si="84"/>
        <v>0</v>
      </c>
      <c r="S523" s="316">
        <f t="shared" si="75"/>
        <v>0</v>
      </c>
    </row>
    <row r="524" spans="1:19">
      <c r="A524" s="150"/>
      <c r="B524" s="54"/>
      <c r="C524" s="21">
        <f t="shared" si="76"/>
        <v>1</v>
      </c>
      <c r="D524" s="662"/>
      <c r="E524" s="21">
        <f t="shared" si="77"/>
        <v>1</v>
      </c>
      <c r="F524" s="662"/>
      <c r="G524" s="21">
        <f t="shared" si="78"/>
        <v>1</v>
      </c>
      <c r="H524" s="662"/>
      <c r="I524" s="21">
        <f t="shared" si="79"/>
        <v>1</v>
      </c>
      <c r="J524" s="662"/>
      <c r="K524" s="21">
        <f t="shared" si="80"/>
        <v>1</v>
      </c>
      <c r="L524" s="662"/>
      <c r="M524" s="21">
        <f t="shared" si="81"/>
        <v>1</v>
      </c>
      <c r="N524" s="662"/>
      <c r="O524" s="21">
        <f t="shared" si="82"/>
        <v>1</v>
      </c>
      <c r="P524" s="662"/>
      <c r="Q524" s="21">
        <f t="shared" si="83"/>
        <v>0.06</v>
      </c>
      <c r="R524" s="659">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4222</v>
      </c>
    </row>
    <row r="2" spans="1:12" ht="21.75" customHeight="1" thickBot="1">
      <c r="A2" s="3750" t="str">
        <f>项目基本情况!S2</f>
        <v>北京市昌平区英才南一街15号院1号楼等13栋部分用房房地产</v>
      </c>
      <c r="B2" s="3751"/>
      <c r="C2" s="3751"/>
      <c r="D2" s="3751"/>
      <c r="E2" s="3751"/>
      <c r="F2" s="3751"/>
      <c r="G2" s="3751"/>
      <c r="H2" s="3751"/>
      <c r="I2" s="3752"/>
    </row>
    <row r="3" spans="1:12" ht="12.75">
      <c r="A3" s="3754" t="s">
        <v>1264</v>
      </c>
      <c r="B3" s="3755"/>
      <c r="C3" s="3755"/>
      <c r="D3" s="3755"/>
      <c r="E3" s="3755"/>
      <c r="F3" s="3755"/>
      <c r="G3" s="3755"/>
      <c r="H3" s="3755"/>
      <c r="I3" s="3755"/>
    </row>
    <row r="4" spans="1:12" ht="14.25">
      <c r="A4" s="1746" t="s">
        <v>1265</v>
      </c>
      <c r="B4" s="1747" t="s">
        <v>1266</v>
      </c>
      <c r="C4" s="1748" t="s">
        <v>4195</v>
      </c>
      <c r="D4" s="1748" t="s">
        <v>4163</v>
      </c>
      <c r="E4" s="3756" t="s">
        <v>1267</v>
      </c>
      <c r="F4" s="3757"/>
      <c r="G4" s="3757"/>
      <c r="H4" s="3757"/>
      <c r="I4" s="3758"/>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0" t="s">
        <v>1268</v>
      </c>
      <c r="B5" s="3717">
        <v>25</v>
      </c>
      <c r="C5" s="3733"/>
      <c r="D5" s="3753"/>
      <c r="E5" s="131" t="s">
        <v>1269</v>
      </c>
      <c r="F5" s="1749"/>
      <c r="G5" s="1749"/>
      <c r="H5" s="1749"/>
      <c r="I5" s="1365"/>
    </row>
    <row r="6" spans="1:12" ht="12.75">
      <c r="A6" s="3730"/>
      <c r="B6" s="3717"/>
      <c r="C6" s="3734"/>
      <c r="D6" s="3753"/>
      <c r="E6" s="131" t="s">
        <v>1270</v>
      </c>
      <c r="F6" s="1749"/>
      <c r="G6" s="1749"/>
      <c r="H6" s="1749"/>
      <c r="I6" s="1365"/>
    </row>
    <row r="7" spans="1:12" ht="12.75">
      <c r="A7" s="3730"/>
      <c r="B7" s="3717"/>
      <c r="C7" s="3735"/>
      <c r="D7" s="3753"/>
      <c r="E7" s="131" t="s">
        <v>1271</v>
      </c>
      <c r="F7" s="1749"/>
      <c r="G7" s="1749"/>
      <c r="H7" s="1749"/>
      <c r="I7" s="1365"/>
    </row>
    <row r="8" spans="1:12" ht="12.75">
      <c r="A8" s="3730" t="s">
        <v>1272</v>
      </c>
      <c r="B8" s="3717">
        <v>15</v>
      </c>
      <c r="C8" s="3733"/>
      <c r="D8" s="3753"/>
      <c r="E8" s="131" t="s">
        <v>1273</v>
      </c>
      <c r="F8" s="1749"/>
      <c r="G8" s="1749"/>
      <c r="H8" s="1749"/>
      <c r="I8" s="1365"/>
    </row>
    <row r="9" spans="1:12" ht="12.75">
      <c r="A9" s="3730"/>
      <c r="B9" s="3717"/>
      <c r="C9" s="3735"/>
      <c r="D9" s="3753"/>
      <c r="E9" s="131" t="s">
        <v>1274</v>
      </c>
      <c r="F9" s="1749"/>
      <c r="G9" s="1749"/>
      <c r="H9" s="1749"/>
      <c r="I9" s="1365"/>
    </row>
    <row r="10" spans="1:12" ht="12.75">
      <c r="A10" s="3730" t="s">
        <v>1275</v>
      </c>
      <c r="B10" s="3717">
        <v>15</v>
      </c>
      <c r="C10" s="3733"/>
      <c r="D10" s="3753"/>
      <c r="E10" s="131" t="s">
        <v>1276</v>
      </c>
      <c r="F10" s="1749"/>
      <c r="G10" s="1749"/>
      <c r="H10" s="1749"/>
      <c r="I10" s="1365"/>
    </row>
    <row r="11" spans="1:12" ht="12.75">
      <c r="A11" s="3730"/>
      <c r="B11" s="3717"/>
      <c r="C11" s="3735"/>
      <c r="D11" s="3753"/>
      <c r="E11" s="131" t="s">
        <v>1277</v>
      </c>
      <c r="F11" s="1749"/>
      <c r="G11" s="1749"/>
      <c r="H11" s="1749"/>
      <c r="I11" s="1365"/>
    </row>
    <row r="12" spans="1:12" ht="12.75">
      <c r="A12" s="3730" t="s">
        <v>1278</v>
      </c>
      <c r="B12" s="3717">
        <v>15</v>
      </c>
      <c r="C12" s="3733"/>
      <c r="D12" s="3753"/>
      <c r="E12" s="131" t="s">
        <v>1279</v>
      </c>
      <c r="F12" s="1749"/>
      <c r="G12" s="1749"/>
      <c r="H12" s="1749"/>
      <c r="I12" s="1365"/>
    </row>
    <row r="13" spans="1:12" ht="12.75">
      <c r="A13" s="3730"/>
      <c r="B13" s="3717"/>
      <c r="C13" s="3735"/>
      <c r="D13" s="3753"/>
      <c r="E13" s="131" t="s">
        <v>1280</v>
      </c>
      <c r="F13" s="1749"/>
      <c r="G13" s="1749"/>
      <c r="H13" s="1749"/>
      <c r="I13" s="1365"/>
    </row>
    <row r="14" spans="1:12" ht="12.75">
      <c r="A14" s="3730" t="s">
        <v>1281</v>
      </c>
      <c r="B14" s="3717">
        <v>30</v>
      </c>
      <c r="C14" s="3733">
        <v>5</v>
      </c>
      <c r="D14" s="3753">
        <v>5</v>
      </c>
      <c r="E14" s="131" t="s">
        <v>1282</v>
      </c>
      <c r="F14" s="1749"/>
      <c r="G14" s="1749"/>
      <c r="H14" s="1749"/>
      <c r="I14" s="1365"/>
    </row>
    <row r="15" spans="1:12" ht="12.75">
      <c r="A15" s="3730"/>
      <c r="B15" s="3717"/>
      <c r="C15" s="3734"/>
      <c r="D15" s="3753"/>
      <c r="E15" s="131" t="s">
        <v>1283</v>
      </c>
      <c r="F15" s="1749"/>
      <c r="G15" s="1749"/>
      <c r="H15" s="1749"/>
      <c r="I15" s="1365"/>
    </row>
    <row r="16" spans="1:12" ht="12.75">
      <c r="A16" s="3730"/>
      <c r="B16" s="3717"/>
      <c r="C16" s="3735"/>
      <c r="D16" s="3753"/>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740" t="s">
        <v>2130</v>
      </c>
      <c r="F18" s="3741"/>
      <c r="G18" s="3741"/>
      <c r="H18" s="3741"/>
      <c r="I18" s="3741"/>
      <c r="K18" s="302" t="s">
        <v>1289</v>
      </c>
      <c r="L18" s="302">
        <f>IF(C1="",'数据-汇总表'!E3,SUMIF(项目类型,C1,'数据-汇总表'!E17:E26)+SUMIF(项目类型,C1,'数据-汇总表'!I17:I26))</f>
        <v>0</v>
      </c>
      <c r="M18" s="302">
        <f>IF(C1="",'数据-汇总表'!E3,SUMIF(项目类型,C1,'数据-汇总表'!E17:E26))</f>
        <v>0</v>
      </c>
    </row>
    <row r="19" spans="1:36" ht="15">
      <c r="A19" s="1753" t="s">
        <v>1290</v>
      </c>
      <c r="B19" s="1754" t="s">
        <v>1291</v>
      </c>
      <c r="C19" s="134">
        <f ca="1">SUMIF(INDIRECT("'"&amp;C4&amp;"'"&amp;"!A:A"),结果表车!B19,INDIRECT("'"&amp;C4&amp;"'"&amp;"!B:B"))</f>
        <v>0</v>
      </c>
      <c r="D19" s="135" t="e">
        <f ca="1">SUMIF(INDIRECT("'"&amp;D4&amp;"'"&amp;"!A:A"),结果表车!B19,INDIRECT("'"&amp;D4&amp;"'"&amp;"!B:B"))</f>
        <v>#DIV/0!</v>
      </c>
      <c r="E19" s="1753" t="s">
        <v>1292</v>
      </c>
      <c r="F19" s="1754" t="s">
        <v>1291</v>
      </c>
      <c r="G19" s="136" t="e">
        <f ca="1">ROUND(C19*$C$18+D19*$D$18,0)</f>
        <v>#DIV/0!</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0</v>
      </c>
      <c r="E20" s="1756"/>
      <c r="F20" s="1018" t="s">
        <v>1295</v>
      </c>
      <c r="G20" s="139">
        <f ca="1">ROUND(C20*$C$18+D20*$D$18,0)</f>
        <v>2408</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t="e">
        <f ca="1">IF(C19&lt;D19,D19/C19-1,C19/D19-1)</f>
        <v>#DIV/0!</v>
      </c>
      <c r="E22" s="129"/>
      <c r="F22" s="129"/>
      <c r="G22" s="129"/>
      <c r="H22" s="129"/>
      <c r="I22" s="129"/>
    </row>
    <row r="23" spans="1:36" ht="13.5" thickBot="1">
      <c r="A23" s="1739"/>
      <c r="B23" s="1739"/>
      <c r="C23" s="1739"/>
      <c r="D23" s="1739"/>
      <c r="E23" s="129"/>
      <c r="F23" s="129"/>
      <c r="G23" s="129"/>
      <c r="H23" s="129"/>
      <c r="I23" s="129"/>
      <c r="J23" s="3532" t="s">
        <v>4283</v>
      </c>
    </row>
    <row r="24" spans="1:36" ht="14.25">
      <c r="A24" s="3724" t="s">
        <v>1299</v>
      </c>
      <c r="B24" s="1754" t="s">
        <v>1291</v>
      </c>
      <c r="C24" s="136">
        <f>IF(B30=0,0,D30)</f>
        <v>0</v>
      </c>
      <c r="D24" s="1761"/>
      <c r="E24" s="129"/>
      <c r="F24" s="129"/>
      <c r="G24" s="129"/>
      <c r="H24" s="129"/>
      <c r="I24" s="129"/>
    </row>
    <row r="25" spans="1:36" ht="14.25">
      <c r="A25" s="3725"/>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2408</v>
      </c>
      <c r="D32" s="3555" t="s">
        <v>4251</v>
      </c>
      <c r="E32" s="129"/>
      <c r="F32" s="129"/>
      <c r="G32" s="129"/>
      <c r="H32" s="129"/>
      <c r="I32" s="129"/>
    </row>
    <row r="33" spans="1:15" ht="15">
      <c r="A33" s="778" t="s">
        <v>1306</v>
      </c>
      <c r="B33" s="1767"/>
      <c r="C33" s="1768" t="s">
        <v>4252</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44" t="s">
        <v>1312</v>
      </c>
      <c r="B36" s="1778" t="s">
        <v>1313</v>
      </c>
      <c r="C36" s="145"/>
      <c r="D36" s="1779"/>
      <c r="E36" s="1780"/>
      <c r="F36" s="1781"/>
      <c r="G36" s="129"/>
      <c r="H36" s="129"/>
      <c r="I36" s="129"/>
    </row>
    <row r="37" spans="1:15" ht="15.75" thickBot="1">
      <c r="A37" s="3745"/>
      <c r="B37" s="1666" t="s">
        <v>1314</v>
      </c>
      <c r="C37" s="147"/>
      <c r="D37" s="1131"/>
      <c r="E37" s="1131"/>
      <c r="F37" s="1781"/>
      <c r="G37" s="129"/>
      <c r="H37" s="129"/>
      <c r="I37" s="129"/>
    </row>
    <row r="38" spans="1:15" ht="15.75" thickBot="1">
      <c r="A38" s="3746"/>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21" t="s">
        <v>1326</v>
      </c>
      <c r="B45" s="3722"/>
      <c r="C45" s="3723"/>
      <c r="D45" s="155">
        <f ca="1">ROUND(H101*F45,0)</f>
        <v>0</v>
      </c>
      <c r="E45" s="156" t="s">
        <v>1327</v>
      </c>
      <c r="F45" s="157">
        <v>1</v>
      </c>
      <c r="G45" s="158" t="s">
        <v>1328</v>
      </c>
      <c r="H45" s="129"/>
      <c r="I45" s="129"/>
      <c r="J45" s="3799" t="s">
        <v>1329</v>
      </c>
      <c r="K45" s="3799"/>
      <c r="L45" s="3799"/>
      <c r="M45" s="3799"/>
      <c r="N45" s="3799"/>
      <c r="O45" s="3799"/>
    </row>
    <row r="46" spans="1:15" ht="14.25" customHeight="1">
      <c r="A46" s="3718" t="s">
        <v>1330</v>
      </c>
      <c r="B46" s="3719"/>
      <c r="C46" s="3719"/>
      <c r="D46" s="3719"/>
      <c r="E46" s="3719"/>
      <c r="F46" s="3719"/>
      <c r="G46" s="3720"/>
      <c r="H46" s="1797"/>
      <c r="I46" s="159"/>
      <c r="J46" s="3461">
        <v>1</v>
      </c>
      <c r="K46" s="3780" t="s">
        <v>1331</v>
      </c>
      <c r="L46" s="3780"/>
      <c r="M46" s="3800"/>
      <c r="N46" s="3800"/>
      <c r="O46" s="3800"/>
    </row>
    <row r="47" spans="1:15" ht="12" customHeight="1">
      <c r="A47" s="160" t="s">
        <v>1332</v>
      </c>
      <c r="B47" s="161"/>
      <c r="C47" s="162"/>
      <c r="D47" s="1079" t="s">
        <v>1333</v>
      </c>
      <c r="E47" s="302" t="s">
        <v>1334</v>
      </c>
      <c r="F47" s="163" t="s">
        <v>1335</v>
      </c>
      <c r="G47" s="2531" t="s">
        <v>1336</v>
      </c>
      <c r="H47" s="2532"/>
      <c r="I47" s="159"/>
      <c r="J47" s="3461">
        <v>2</v>
      </c>
      <c r="K47" s="3780" t="s">
        <v>1337</v>
      </c>
      <c r="L47" s="3780"/>
      <c r="M47" s="3801">
        <f>'数据-取费表'!B2</f>
        <v>45320</v>
      </c>
      <c r="N47" s="3801"/>
      <c r="O47" s="3801"/>
    </row>
    <row r="48" spans="1:15" ht="25.5">
      <c r="A48" s="3749" t="s">
        <v>1338</v>
      </c>
      <c r="B48" s="3732"/>
      <c r="C48" s="3732"/>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80" t="s">
        <v>1340</v>
      </c>
      <c r="L48" s="3780"/>
      <c r="M48" s="3802">
        <f ca="1">H101</f>
        <v>0</v>
      </c>
      <c r="N48" s="3802"/>
      <c r="O48" s="3802"/>
    </row>
    <row r="49" spans="1:35" ht="25.5" customHeight="1">
      <c r="A49" s="3458" t="s">
        <v>1341</v>
      </c>
      <c r="B49" s="3716" t="s">
        <v>1342</v>
      </c>
      <c r="C49" s="3716"/>
      <c r="D49" s="1582">
        <v>0</v>
      </c>
      <c r="E49" s="324" t="s">
        <v>1343</v>
      </c>
      <c r="F49" s="3448" t="s">
        <v>28</v>
      </c>
      <c r="G49" s="3786"/>
      <c r="H49" s="2298" t="s">
        <v>2133</v>
      </c>
      <c r="I49" s="2299"/>
      <c r="J49" s="3461">
        <v>4</v>
      </c>
      <c r="K49" s="3780" t="str">
        <f>IF(项目基本情况!E8="房地产抵押价值","房地产抵押价值","抵押担保权已注销时的房地产抵押价值")</f>
        <v>房地产抵押价值</v>
      </c>
      <c r="L49" s="3780"/>
      <c r="M49" s="3802">
        <f ca="1">IF(项目基本情况!E8="房地产抵押价值",H107,H109)</f>
        <v>0</v>
      </c>
      <c r="N49" s="3802"/>
      <c r="O49" s="3802"/>
    </row>
    <row r="50" spans="1:35" ht="25.5" customHeight="1">
      <c r="A50" s="2536"/>
      <c r="B50" s="3716" t="s">
        <v>1344</v>
      </c>
      <c r="C50" s="3716"/>
      <c r="D50" s="2537"/>
      <c r="E50" s="332"/>
      <c r="F50" s="3448"/>
      <c r="G50" s="3787"/>
      <c r="H50" s="2300" t="s">
        <v>2134</v>
      </c>
      <c r="I50" s="2299"/>
      <c r="J50" s="3799" t="s">
        <v>1345</v>
      </c>
      <c r="K50" s="3799"/>
      <c r="L50" s="3799"/>
      <c r="M50" s="3799"/>
      <c r="N50" s="3799"/>
      <c r="O50" s="3799"/>
    </row>
    <row r="51" spans="1:35" ht="20.45" customHeight="1">
      <c r="A51" s="2538"/>
      <c r="B51" s="3716" t="s">
        <v>1346</v>
      </c>
      <c r="C51" s="3716"/>
      <c r="D51" s="1079"/>
      <c r="E51" s="327"/>
      <c r="F51" s="3448"/>
      <c r="G51" s="3788"/>
      <c r="H51" s="2300" t="s">
        <v>2135</v>
      </c>
      <c r="I51" s="2299"/>
      <c r="J51" s="3460" t="s">
        <v>1347</v>
      </c>
      <c r="K51" s="3780" t="s">
        <v>1348</v>
      </c>
      <c r="L51" s="3780"/>
      <c r="M51" s="3460" t="s">
        <v>1349</v>
      </c>
      <c r="N51" s="3460" t="s">
        <v>1350</v>
      </c>
      <c r="O51" s="3460" t="s">
        <v>1351</v>
      </c>
    </row>
    <row r="52" spans="1:35" ht="24" customHeight="1">
      <c r="A52" s="3453" t="s">
        <v>1352</v>
      </c>
      <c r="B52" s="3716" t="s">
        <v>1353</v>
      </c>
      <c r="C52" s="3716"/>
      <c r="D52" s="1079">
        <f ca="1">ROUND(D45*'数据-取费表'!B41/(1+'数据-取费表'!C42),0)</f>
        <v>0</v>
      </c>
      <c r="E52" s="3454" t="s">
        <v>1354</v>
      </c>
      <c r="F52" s="2539">
        <f>'数据-取费表'!B41</f>
        <v>5.5000000000000007E-2</v>
      </c>
      <c r="G52" s="2540"/>
      <c r="H52" s="2529"/>
      <c r="I52" s="1798"/>
      <c r="J52" s="3461">
        <v>1</v>
      </c>
      <c r="K52" s="3781" t="s">
        <v>1355</v>
      </c>
      <c r="L52" s="3781"/>
      <c r="M52" s="2510" t="b">
        <f>D48</f>
        <v>0</v>
      </c>
      <c r="N52" s="3461" t="str">
        <f>E48</f>
        <v>销售额×税（费）率</v>
      </c>
      <c r="O52" s="2511">
        <f>F48</f>
        <v>5.5000000000000007E-2</v>
      </c>
    </row>
    <row r="53" spans="1:35" ht="12" customHeight="1">
      <c r="A53" s="3453" t="s">
        <v>1356</v>
      </c>
      <c r="B53" s="3742" t="s">
        <v>2286</v>
      </c>
      <c r="C53" s="3743"/>
      <c r="D53" s="1079">
        <f ca="1">ROUND(D45*'数据-取费表'!B41/(1+'数据-取费表'!C42),0)</f>
        <v>0</v>
      </c>
      <c r="E53" s="3454" t="s">
        <v>1354</v>
      </c>
      <c r="F53" s="2539">
        <f>'数据-取费表'!B41</f>
        <v>5.5000000000000007E-2</v>
      </c>
      <c r="G53" s="2540"/>
      <c r="H53" s="2529"/>
      <c r="I53" s="1798"/>
      <c r="J53" s="3461">
        <v>2</v>
      </c>
      <c r="K53" s="3781" t="s">
        <v>1357</v>
      </c>
      <c r="L53" s="3781"/>
      <c r="M53" s="2510">
        <f t="shared" ref="M53:O54" ca="1" si="0">D55</f>
        <v>0</v>
      </c>
      <c r="N53" s="3461" t="str">
        <f t="shared" si="0"/>
        <v>销售额×税（费）率</v>
      </c>
      <c r="O53" s="2511" t="str">
        <f t="shared" si="0"/>
        <v>免征</v>
      </c>
    </row>
    <row r="54" spans="1:35" ht="12" customHeight="1">
      <c r="A54" s="3453" t="s">
        <v>1358</v>
      </c>
      <c r="B54" s="3742" t="s">
        <v>2287</v>
      </c>
      <c r="C54" s="3743"/>
      <c r="D54" s="1079">
        <f ca="1">C68</f>
        <v>0</v>
      </c>
      <c r="E54" s="327" t="s">
        <v>1359</v>
      </c>
      <c r="F54" s="2539">
        <f>'数据-取费表'!B41</f>
        <v>5.5000000000000007E-2</v>
      </c>
      <c r="G54" s="2540"/>
      <c r="H54" s="2541"/>
      <c r="I54" s="1798"/>
      <c r="J54" s="3461">
        <v>3</v>
      </c>
      <c r="K54" s="3781" t="s">
        <v>1360</v>
      </c>
      <c r="L54" s="3781"/>
      <c r="M54" s="2510">
        <f t="shared" ca="1" si="0"/>
        <v>0</v>
      </c>
      <c r="N54" s="3461" t="str">
        <f t="shared" si="0"/>
        <v>增值额×税（费）率</v>
      </c>
      <c r="O54" s="2512" t="str">
        <f t="shared" si="0"/>
        <v>免征</v>
      </c>
    </row>
    <row r="55" spans="1:35" ht="24" customHeight="1">
      <c r="A55" s="3731" t="s">
        <v>1361</v>
      </c>
      <c r="B55" s="3732"/>
      <c r="C55" s="3732"/>
      <c r="D55" s="3463">
        <f ca="1">IF(H55="个人住宅",0,ROUND(D45*I55,0))</f>
        <v>0</v>
      </c>
      <c r="E55" s="3454" t="s">
        <v>1362</v>
      </c>
      <c r="F55" s="2539" t="str">
        <f>IF(H55="正常",I55,"免征")</f>
        <v>免征</v>
      </c>
      <c r="G55" s="2540"/>
      <c r="H55" s="2535"/>
      <c r="I55" s="165">
        <f>'数据-取费表'!B49</f>
        <v>5.0000000000000001E-4</v>
      </c>
      <c r="J55" s="3461">
        <f>IF(H59="非个人房产","",4)</f>
        <v>4</v>
      </c>
      <c r="K55" s="3781" t="str">
        <f>IF(H59="非个人房产","——","个人所得税")</f>
        <v>个人所得税</v>
      </c>
      <c r="L55" s="3781"/>
      <c r="M55" s="2513">
        <f ca="1">D59</f>
        <v>0</v>
      </c>
      <c r="N55" s="3462" t="str">
        <f>E59</f>
        <v>差额计税</v>
      </c>
      <c r="O55" s="2514">
        <f>F59</f>
        <v>0.01</v>
      </c>
    </row>
    <row r="56" spans="1:35" ht="24.75">
      <c r="A56" s="3731" t="s">
        <v>1363</v>
      </c>
      <c r="B56" s="3732"/>
      <c r="C56" s="3732"/>
      <c r="D56" s="3463">
        <f ca="1">IF(H56="个人住宅",D57,D58)</f>
        <v>0</v>
      </c>
      <c r="E56" s="3454" t="s">
        <v>1364</v>
      </c>
      <c r="F56" s="2539" t="str">
        <f>IF(H56="正常",F58,"免征")</f>
        <v>免征</v>
      </c>
      <c r="G56" s="2542" t="s">
        <v>1365</v>
      </c>
      <c r="H56" s="2543"/>
      <c r="I56" s="1799"/>
      <c r="J56" s="3461" t="str">
        <f>IF(项目基本情况!K6="上海银行",IF(J55="",4,J55+1),"")</f>
        <v/>
      </c>
      <c r="K56" s="3804" t="str">
        <f>IF(项目基本情况!K6="上海银行","其他处置费用","")</f>
        <v/>
      </c>
      <c r="L56" s="3805"/>
      <c r="M56" s="2510" t="str">
        <f>IF(项目基本情况!K6="上海银行",M69,"")</f>
        <v/>
      </c>
      <c r="N56" s="3804" t="str">
        <f>IF(项目基本情况!K6="上海银行","包含处置中涉及的律师、诉讼、拍卖、评估等费用","")</f>
        <v/>
      </c>
      <c r="O56" s="3807"/>
    </row>
    <row r="57" spans="1:35" ht="12.75">
      <c r="A57" s="3453" t="s">
        <v>1341</v>
      </c>
      <c r="B57" s="3742" t="s">
        <v>1366</v>
      </c>
      <c r="C57" s="3743"/>
      <c r="D57" s="1582">
        <v>0</v>
      </c>
      <c r="E57" s="324" t="s">
        <v>1343</v>
      </c>
      <c r="F57" s="302"/>
      <c r="G57" s="2540"/>
      <c r="H57" s="2544"/>
      <c r="I57" s="1799"/>
      <c r="J57" s="3781">
        <f>IF(AND(J55="",J56=""),4,IF(项目基本情况!K6="上海银行",结果表车!J56+1,结果表车!J55+1))</f>
        <v>5</v>
      </c>
      <c r="K57" s="3781" t="s">
        <v>1367</v>
      </c>
      <c r="L57" s="2515" t="s">
        <v>1368</v>
      </c>
      <c r="M57" s="2516"/>
      <c r="N57" s="2517">
        <f ca="1">SUMIF(M52:M56,"&lt;9e307")</f>
        <v>0</v>
      </c>
      <c r="O57" s="2518"/>
      <c r="P57" s="2674" t="e">
        <f ca="1">N57/M49</f>
        <v>#DIV/0!</v>
      </c>
    </row>
    <row r="58" spans="1:35" ht="24.75">
      <c r="A58" s="3453" t="s">
        <v>1352</v>
      </c>
      <c r="B58" s="3742" t="s">
        <v>1369</v>
      </c>
      <c r="C58" s="3716"/>
      <c r="D58" s="3463">
        <f ca="1">IF(H58="转让取得",C81,C97)</f>
        <v>0</v>
      </c>
      <c r="E58" s="3454" t="s">
        <v>1364</v>
      </c>
      <c r="F58" s="302" t="s">
        <v>28</v>
      </c>
      <c r="G58" s="2540"/>
      <c r="H58" s="2543"/>
      <c r="I58" s="1799"/>
      <c r="J58" s="3781"/>
      <c r="K58" s="3781"/>
      <c r="L58" s="2515" t="s">
        <v>1370</v>
      </c>
      <c r="M58" s="2519"/>
      <c r="N58" s="2520" t="str">
        <f ca="1">NUMBERSTRING(INT(N57*10000),2)&amp;"元整"</f>
        <v>零元整</v>
      </c>
      <c r="O58" s="2521"/>
    </row>
    <row r="59" spans="1:35" ht="24.75" thickBot="1">
      <c r="A59" s="3784" t="s">
        <v>1371</v>
      </c>
      <c r="B59" s="3785"/>
      <c r="C59" s="3785"/>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82">
        <f>J57+1</f>
        <v>6</v>
      </c>
      <c r="K59" s="3781" t="s">
        <v>1372</v>
      </c>
      <c r="L59" s="3461" t="s">
        <v>1368</v>
      </c>
      <c r="M59" s="2522"/>
      <c r="N59" s="2523">
        <f ca="1">M49-N57</f>
        <v>0</v>
      </c>
      <c r="O59" s="2524"/>
    </row>
    <row r="60" spans="1:35" ht="12" customHeight="1">
      <c r="A60" s="1800"/>
      <c r="B60" s="1739"/>
      <c r="C60" s="1739"/>
      <c r="D60" s="1739"/>
      <c r="E60" s="1570"/>
      <c r="F60" s="1799"/>
      <c r="G60" s="1799"/>
      <c r="H60" s="1801"/>
      <c r="I60" s="129"/>
      <c r="J60" s="3783"/>
      <c r="K60" s="3781"/>
      <c r="L60" s="2515" t="s">
        <v>1370</v>
      </c>
      <c r="M60" s="2519"/>
      <c r="N60" s="2520" t="str">
        <f ca="1">NUMBERSTRING(INT(N59*10000),2)&amp;"元整"</f>
        <v>零元整</v>
      </c>
      <c r="O60" s="2521"/>
    </row>
    <row r="61" spans="1:35" ht="13.5" thickBot="1">
      <c r="A61" s="3729" t="s">
        <v>1373</v>
      </c>
      <c r="B61" s="3729"/>
      <c r="C61" s="3729"/>
      <c r="D61" s="3729"/>
      <c r="E61" s="3729"/>
      <c r="F61" s="1799"/>
      <c r="G61" s="1799"/>
      <c r="H61" s="1801"/>
      <c r="I61" s="129"/>
      <c r="J61" s="3461">
        <f>J59+1</f>
        <v>7</v>
      </c>
      <c r="K61" s="3781" t="s">
        <v>1374</v>
      </c>
      <c r="L61" s="3781"/>
      <c r="M61" s="2525"/>
      <c r="N61" s="2526">
        <f ca="1">ROUND(N59*10000/'数据-汇总表'!E3,0)</f>
        <v>0</v>
      </c>
      <c r="O61" s="2527"/>
    </row>
    <row r="62" spans="1:35" ht="12.75">
      <c r="A62" s="3747" t="s">
        <v>1375</v>
      </c>
      <c r="B62" s="3748"/>
      <c r="C62" s="3457"/>
      <c r="D62" s="3457" t="s">
        <v>1376</v>
      </c>
      <c r="E62" s="166" t="s">
        <v>1377</v>
      </c>
      <c r="F62" s="1799"/>
      <c r="G62" s="1799"/>
      <c r="H62" s="1801"/>
      <c r="I62" s="129"/>
    </row>
    <row r="63" spans="1:35" ht="12.75">
      <c r="A63" s="173" t="s">
        <v>330</v>
      </c>
      <c r="B63" s="167" t="s">
        <v>1378</v>
      </c>
      <c r="C63" s="2549">
        <f ca="1">ROUND((C64+C65)/(1+'数据-取费表'!C42),0)</f>
        <v>0</v>
      </c>
      <c r="D63" s="167"/>
      <c r="E63" s="168"/>
      <c r="F63" s="1799"/>
      <c r="G63" s="1799"/>
      <c r="H63" s="1801"/>
      <c r="I63" s="129"/>
      <c r="J63" s="3806" t="s">
        <v>1379</v>
      </c>
      <c r="K63" s="3464" t="s">
        <v>1380</v>
      </c>
      <c r="L63" s="3464">
        <f ca="1">IF(M49&gt;10000,M49*0.5%,IF(AND(M49&gt;1000,M49&lt;=10000),M49*1%,IF(AND(M49&gt;100,M49&lt;=1000),M49*3%,IF(AND(M49&gt;10,M49&lt;=100),M49*5%,M49*8%))))</f>
        <v>0</v>
      </c>
      <c r="M63" s="302">
        <f ca="1">ROUND(L63,1)</f>
        <v>0</v>
      </c>
      <c r="N63" s="2528"/>
      <c r="Z63" s="1744"/>
      <c r="AI63" s="1745"/>
    </row>
    <row r="64" spans="1:35" ht="14.25" customHeight="1">
      <c r="A64" s="169" t="s">
        <v>325</v>
      </c>
      <c r="B64" s="170" t="s">
        <v>1381</v>
      </c>
      <c r="C64" s="2550">
        <f ca="1">D45</f>
        <v>0</v>
      </c>
      <c r="D64" s="170" t="s">
        <v>26</v>
      </c>
      <c r="E64" s="172"/>
      <c r="F64" s="1799"/>
      <c r="G64" s="1799"/>
      <c r="H64" s="1801"/>
      <c r="I64" s="129"/>
      <c r="J64" s="3806"/>
      <c r="K64" s="3464" t="s">
        <v>1382</v>
      </c>
      <c r="L64" s="3464" t="b">
        <f ca="1">IF(M49&gt;2000,M49*0.5%,IF(AND(M49&gt;1000,M49&lt;=2000),M49*0.6%,IF(AND(M49&gt;500,M49&lt;=1000),M49*0.7%,IF(AND(M49&gt;200,M49&lt;=500),M49*0.8%,IF(AND(M49&gt;100,M49&lt;=200),M49*0.9%,IF(AND(M49&gt;50,M49&lt;=100),M49*1%,IF(AND(M49&gt;20,M49&lt;=50),M49*1.5%,IF(AND(M49&gt;10,M49&lt;=20),M49*2%,IF(AND(M49&gt;1,M49&lt;=10),M49*2.5%)))))))))</f>
        <v>0</v>
      </c>
      <c r="M64" s="302">
        <f t="shared" ref="M64:M65" ca="1" si="1">ROUND(L64,1)</f>
        <v>0</v>
      </c>
      <c r="N64" s="2529" t="s">
        <v>1383</v>
      </c>
      <c r="Z64" s="1744"/>
      <c r="AI64" s="1745"/>
    </row>
    <row r="65" spans="1:35" ht="14.25" customHeight="1">
      <c r="A65" s="169" t="s">
        <v>326</v>
      </c>
      <c r="B65" s="170" t="s">
        <v>1384</v>
      </c>
      <c r="C65" s="2551"/>
      <c r="D65" s="170"/>
      <c r="E65" s="172"/>
      <c r="F65" s="1799"/>
      <c r="G65" s="1799"/>
      <c r="H65" s="1801"/>
      <c r="I65" s="129"/>
      <c r="J65" s="3806"/>
      <c r="K65" s="3464" t="s">
        <v>1385</v>
      </c>
      <c r="L65" s="3464" t="b">
        <f ca="1">IF(M49&gt;1000,M49*0.1%,IF(AND(M49&gt;500,M49&lt;=1000),M49*0.5%,IF(AND(M49&gt;50,M49&lt;=500),M49*1%,IF(AND(M49&gt;1,M49&lt;=50),M49*1.5%))))</f>
        <v>0</v>
      </c>
      <c r="M65" s="302">
        <f t="shared" ca="1" si="1"/>
        <v>0</v>
      </c>
      <c r="N65" s="2529" t="s">
        <v>1383</v>
      </c>
      <c r="Z65" s="1744"/>
      <c r="AI65" s="1745"/>
    </row>
    <row r="66" spans="1:35" ht="14.25" customHeight="1">
      <c r="A66" s="173" t="s">
        <v>327</v>
      </c>
      <c r="B66" s="174" t="s">
        <v>1386</v>
      </c>
      <c r="C66" s="2552"/>
      <c r="D66" s="174" t="s">
        <v>26</v>
      </c>
      <c r="E66" s="1330" t="s">
        <v>671</v>
      </c>
      <c r="F66" s="1799"/>
      <c r="G66" s="1799"/>
      <c r="H66" s="1801"/>
      <c r="I66" s="129"/>
      <c r="J66" s="3806"/>
      <c r="K66" s="3464" t="s">
        <v>1387</v>
      </c>
      <c r="L66" s="3464">
        <f ca="1">M49*0.5%</f>
        <v>0</v>
      </c>
      <c r="M66" s="302">
        <f ca="1">IF(L66&gt;0.5,0.5,ROUND(L66,0))</f>
        <v>0</v>
      </c>
      <c r="N66" s="2529" t="s">
        <v>1388</v>
      </c>
      <c r="Z66" s="1744"/>
      <c r="AI66" s="1745"/>
    </row>
    <row r="67" spans="1:35" ht="14.25" customHeight="1">
      <c r="A67" s="173" t="s">
        <v>328</v>
      </c>
      <c r="B67" s="174" t="s">
        <v>1389</v>
      </c>
      <c r="C67" s="2553">
        <f ca="1">C63-C66</f>
        <v>0</v>
      </c>
      <c r="D67" s="170" t="s">
        <v>26</v>
      </c>
      <c r="E67" s="172"/>
      <c r="F67" s="1799"/>
      <c r="G67" s="1799"/>
      <c r="H67" s="1801"/>
      <c r="I67" s="129"/>
      <c r="J67" s="3806"/>
      <c r="K67" s="3464" t="s">
        <v>1390</v>
      </c>
      <c r="L67" s="3464" t="b">
        <f ca="1">IF(M49&gt;=10000,(8.25+(M49-10000)*0.01%),IF(AND(M49&gt;=8000,M49&lt;10000),(7.85+(M49-8000)*0.02%),IF(AND(M49&gt;=5000,M49&lt;8000),(6.65+(M49-5000)*0.04%),IF(AND(M49&gt;=2000,M49&lt;5000),(4.25+(PM49-2000)*0.08%),IF(AND(M49&gt;=1000,M49&lt;2000),(2.75+(M49-1000)*0.15%),IF(AND(M49&gt;=100,M49&lt;1000),(0.5+(M49-100)*0.25%),IF(AND(M49&gt;0,M49&lt;100),M49*0.5%)))))))</f>
        <v>0</v>
      </c>
      <c r="M67" s="302">
        <f ca="1">ROUND(L67*0.9,1)</f>
        <v>0</v>
      </c>
      <c r="N67" s="2528"/>
      <c r="Z67" s="1744"/>
      <c r="AI67" s="1745"/>
    </row>
    <row r="68" spans="1:35" ht="14.25" customHeight="1" thickBot="1">
      <c r="A68" s="176" t="s">
        <v>329</v>
      </c>
      <c r="B68" s="177" t="s">
        <v>1391</v>
      </c>
      <c r="C68" s="2554">
        <f ca="1">IF(C67&lt;=0,0,ROUND(C67*D68,0))</f>
        <v>0</v>
      </c>
      <c r="D68" s="2555">
        <f>'数据-取费表'!B41</f>
        <v>5.5000000000000007E-2</v>
      </c>
      <c r="E68" s="178"/>
      <c r="F68" s="1799"/>
      <c r="G68" s="1799"/>
      <c r="H68" s="1801"/>
      <c r="I68" s="129"/>
      <c r="J68" s="3806"/>
      <c r="K68" s="3464" t="s">
        <v>1392</v>
      </c>
      <c r="L68" s="3464">
        <f ca="1">IF(M49&gt;10000,M49*0.5%,IF(AND(M49&gt;5000,M49&lt;=10000),M49*1%,IF(AND(M49&gt;1000,M49&lt;=5000),M49*2%,IF(AND(M49&gt;200,M49&lt;=1000),M49*3%,M49*5%))))</f>
        <v>0</v>
      </c>
      <c r="M68" s="302">
        <f ca="1">ROUND(L68,1)</f>
        <v>0</v>
      </c>
      <c r="N68" s="2528"/>
      <c r="Z68" s="1744"/>
      <c r="AI68" s="1745"/>
    </row>
    <row r="69" spans="1:35" s="1764" customFormat="1" ht="16.5" customHeight="1">
      <c r="A69" s="1802"/>
      <c r="B69" s="1803"/>
      <c r="C69" s="1804"/>
      <c r="D69" s="1805"/>
      <c r="E69" s="1806"/>
      <c r="F69" s="1570"/>
      <c r="G69" s="1570"/>
      <c r="H69" s="1569"/>
      <c r="I69" s="1739"/>
      <c r="J69" s="3806"/>
      <c r="K69" s="3464" t="s">
        <v>1393</v>
      </c>
      <c r="L69" s="3464"/>
      <c r="M69" s="302">
        <f ca="1">ROUND(SUM(M63:M68),0)</f>
        <v>0</v>
      </c>
      <c r="N69" s="2530" t="e">
        <f ca="1">M69/M49</f>
        <v>#DIV/0!</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68" t="s">
        <v>1394</v>
      </c>
      <c r="B70" s="3769"/>
      <c r="C70" s="3769"/>
      <c r="D70" s="3769"/>
      <c r="E70" s="3769"/>
      <c r="F70" s="3769"/>
      <c r="G70" s="3769"/>
      <c r="H70" s="376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47" t="s">
        <v>1375</v>
      </c>
      <c r="B71" s="3748"/>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42" t="s">
        <v>1402</v>
      </c>
      <c r="F76" s="3716"/>
      <c r="G76" s="3716"/>
      <c r="H76" s="376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26" t="s">
        <v>1406</v>
      </c>
      <c r="F78" s="3727"/>
      <c r="G78" s="3727"/>
      <c r="H78" s="373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0</v>
      </c>
      <c r="D80" s="170" t="s">
        <v>26</v>
      </c>
      <c r="E80" s="3463" t="str">
        <f ca="1">IF(C80&gt;=200%,"增值额超过扣除项目金额200%",IF(C80&gt;=100%,"增值额超过扣除项目金额100%，未超过200%",IF(C80&gt;=50%,"增值额超过扣除项目金额50%，未超过100%",IF(C80&lt;50%,"增值额未超过扣除项目金额50%"))))</f>
        <v>增值额未超过扣除项目金额50%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0</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68" t="s">
        <v>1410</v>
      </c>
      <c r="B83" s="3769"/>
      <c r="C83" s="3769"/>
      <c r="D83" s="3769"/>
      <c r="E83" s="3769"/>
      <c r="F83" s="3769"/>
      <c r="G83" s="3769"/>
      <c r="H83" s="376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47" t="s">
        <v>1375</v>
      </c>
      <c r="B84" s="3748"/>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808" t="s">
        <v>2128</v>
      </c>
      <c r="H90" s="3809"/>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26" t="s">
        <v>1419</v>
      </c>
      <c r="F91" s="3727"/>
      <c r="G91" s="372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26" t="s">
        <v>1422</v>
      </c>
      <c r="F92" s="3727"/>
      <c r="G92" s="3727"/>
      <c r="H92" s="3736"/>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26" t="s">
        <v>1406</v>
      </c>
      <c r="F93" s="3727"/>
      <c r="G93" s="3727"/>
      <c r="H93" s="373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737" t="s">
        <v>1426</v>
      </c>
      <c r="F94" s="3738"/>
      <c r="G94" s="3738"/>
      <c r="H94" s="373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0</v>
      </c>
      <c r="D96" s="170" t="s">
        <v>26</v>
      </c>
      <c r="E96" s="3463" t="str">
        <f ca="1">IF(C96&gt;=200%,"增值额超过扣除项目金额200%",IF(C96&gt;=100%,"增值额超过扣除项目金额100%，未超过200%",IF(C96&gt;=50%,"增值额超过扣除项目金额50%，未超过100%",IF(C96&lt;50%,"增值额未超过扣除项目金额50%"))))</f>
        <v>增值额未超过扣除项目金额50%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0</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0" t="s">
        <v>1428</v>
      </c>
      <c r="B100" s="3711"/>
      <c r="C100" s="3711"/>
      <c r="D100" s="3728"/>
      <c r="E100" s="3711" t="s">
        <v>1429</v>
      </c>
      <c r="F100" s="3711"/>
      <c r="G100" s="3711"/>
      <c r="H100" s="3728"/>
      <c r="I100" s="129"/>
    </row>
    <row r="101" spans="1:35" ht="18.75" customHeight="1">
      <c r="A101" s="3789" t="s">
        <v>1430</v>
      </c>
      <c r="B101" s="3790"/>
      <c r="C101" s="2570" t="str">
        <f>C4</f>
        <v>比较法-车位</v>
      </c>
      <c r="D101" s="2571" t="str">
        <f>D4</f>
        <v>收益法 (元)</v>
      </c>
      <c r="E101" s="3803" t="s">
        <v>1431</v>
      </c>
      <c r="F101" s="3760"/>
      <c r="G101" s="1818" t="s">
        <v>1432</v>
      </c>
      <c r="H101" s="2580">
        <f ca="1">H118</f>
        <v>0</v>
      </c>
      <c r="I101" s="129"/>
    </row>
    <row r="102" spans="1:35" ht="18.75" customHeight="1">
      <c r="A102" s="3762" t="s">
        <v>1433</v>
      </c>
      <c r="B102" s="2569" t="s">
        <v>1432</v>
      </c>
      <c r="C102" s="2570">
        <f ca="1">IF(D32="楼面单价",ROUND(C19,0),C19)</f>
        <v>0</v>
      </c>
      <c r="D102" s="2571" t="e">
        <f ca="1">IF(D32="楼面单价",ROUND(D19,0),D19)</f>
        <v>#DIV/0!</v>
      </c>
      <c r="E102" s="3803"/>
      <c r="F102" s="3760"/>
      <c r="G102" s="1818" t="s">
        <v>1434</v>
      </c>
      <c r="H102" s="2540">
        <f ca="1">I118</f>
        <v>2408</v>
      </c>
      <c r="I102" s="129"/>
    </row>
    <row r="103" spans="1:35" ht="42.75" customHeight="1">
      <c r="A103" s="3762"/>
      <c r="B103" s="2569" t="s">
        <v>1434</v>
      </c>
      <c r="C103" s="2572">
        <f ca="1">C20</f>
        <v>4815</v>
      </c>
      <c r="D103" s="2573">
        <f ca="1">D20</f>
        <v>0</v>
      </c>
      <c r="E103" s="3797" t="s">
        <v>1435</v>
      </c>
      <c r="F103" s="3798"/>
      <c r="G103" s="1819" t="s">
        <v>1436</v>
      </c>
      <c r="H103" s="2580">
        <f>IF(D36="正常操作",H104+H105+H106,H105+H106)</f>
        <v>0</v>
      </c>
      <c r="I103" s="129"/>
    </row>
    <row r="104" spans="1:35" ht="18.75" customHeight="1">
      <c r="A104" s="3762" t="s">
        <v>1437</v>
      </c>
      <c r="B104" s="2574" t="s">
        <v>1432</v>
      </c>
      <c r="C104" s="2575">
        <f ca="1">H118</f>
        <v>0</v>
      </c>
      <c r="D104" s="2576"/>
      <c r="E104" s="1666" t="s">
        <v>1438</v>
      </c>
      <c r="F104" s="1658"/>
      <c r="G104" s="1819" t="s">
        <v>1436</v>
      </c>
      <c r="H104" s="2581">
        <f>IF(D36="同一抵押权人同一抵押物续贷",C36&amp;"（续贷，未扣减，详见特别提示）",C36)</f>
        <v>0</v>
      </c>
      <c r="I104" s="129"/>
    </row>
    <row r="105" spans="1:35" ht="18.75" customHeight="1" thickBot="1">
      <c r="A105" s="3763"/>
      <c r="B105" s="2577" t="s">
        <v>1434</v>
      </c>
      <c r="C105" s="2578">
        <f ca="1">I118</f>
        <v>2408</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9" t="str">
        <f>IF(项目基本情况!E8="已注销","——","3.房地产抵押价值")</f>
        <v>3.房地产抵押价值</v>
      </c>
      <c r="F107" s="3760"/>
      <c r="G107" s="1818" t="s">
        <v>1432</v>
      </c>
      <c r="H107" s="2580">
        <f ca="1">IF(E107="——","——",H101-H103)</f>
        <v>0</v>
      </c>
      <c r="I107" s="129"/>
    </row>
    <row r="108" spans="1:35" ht="18.75" customHeight="1">
      <c r="A108" s="129"/>
      <c r="B108" s="129"/>
      <c r="C108" s="129"/>
      <c r="D108" s="129"/>
      <c r="E108" s="3759"/>
      <c r="F108" s="3760"/>
      <c r="G108" s="1818" t="s">
        <v>1434</v>
      </c>
      <c r="H108" s="2540">
        <f ca="1">IF(H107=H101,H102,ROUND(H107*10000/'数据-汇总表'!E3,0))</f>
        <v>2408</v>
      </c>
      <c r="I108" s="129"/>
    </row>
    <row r="109" spans="1:35" ht="18.75" customHeight="1">
      <c r="A109" s="129"/>
      <c r="B109" s="129"/>
      <c r="C109" s="129"/>
      <c r="D109" s="129"/>
      <c r="E109" s="3759" t="str">
        <f>IF(项目基本情况!E8="已注销及未注销","4.抵押担保权已注销时的房地产抵押价值",IF(项目基本情况!E8="已注销","3.抵押担保权已注销时的房地产抵押价值","——"))</f>
        <v>——</v>
      </c>
      <c r="F109" s="3760"/>
      <c r="G109" s="1818" t="s">
        <v>1432</v>
      </c>
      <c r="H109" s="2583" t="str">
        <f>IF(E109="——","——",H101-H105-H106)</f>
        <v>——</v>
      </c>
      <c r="I109" s="129"/>
    </row>
    <row r="110" spans="1:35" ht="18.75" customHeight="1">
      <c r="A110" s="129"/>
      <c r="B110" s="129"/>
      <c r="C110" s="129"/>
      <c r="D110" s="129"/>
      <c r="E110" s="3759"/>
      <c r="F110" s="3760"/>
      <c r="G110" s="1818" t="s">
        <v>1434</v>
      </c>
      <c r="H110" s="2540" t="str">
        <f>IF(H109="——","——",ROUND(H109*10000/'数据-汇总表'!E3,0))</f>
        <v>——</v>
      </c>
      <c r="I110" s="129"/>
    </row>
    <row r="111" spans="1:35" ht="18.75" customHeight="1">
      <c r="A111" s="129"/>
      <c r="B111" s="129"/>
      <c r="C111" s="129"/>
      <c r="D111" s="129"/>
      <c r="E111" s="3791" t="str">
        <f>IF(项目基本情况!E9="抵押净值",IF(OR(项目基本情况!E8="已注销",项目基本情况!E8="房地产抵押价值"),"4.抵押净值","5.抵押净值"),"——")</f>
        <v>——</v>
      </c>
      <c r="F111" s="3761"/>
      <c r="G111" s="1818" t="s">
        <v>1432</v>
      </c>
      <c r="H111" s="2580" t="str">
        <f>IF(E111="——","——",N59)</f>
        <v>——</v>
      </c>
      <c r="I111" s="129"/>
    </row>
    <row r="112" spans="1:35" ht="18.75" customHeight="1" thickBot="1">
      <c r="A112" s="129"/>
      <c r="B112" s="129"/>
      <c r="C112" s="129"/>
      <c r="D112" s="129"/>
      <c r="E112" s="3792"/>
      <c r="F112" s="3793"/>
      <c r="G112" s="1821" t="s">
        <v>1434</v>
      </c>
      <c r="H112" s="2584" t="str">
        <f>IF(E111="——","——",N61)</f>
        <v>——</v>
      </c>
      <c r="I112" s="129"/>
    </row>
    <row r="113" spans="1:27" ht="18.75" customHeight="1">
      <c r="A113" s="129"/>
      <c r="B113" s="129"/>
      <c r="C113" s="129"/>
      <c r="D113" s="129"/>
      <c r="E113" s="3764" t="s">
        <v>1440</v>
      </c>
      <c r="F113" s="3764"/>
      <c r="G113" s="3764"/>
      <c r="H113" s="3764"/>
      <c r="I113" s="129"/>
    </row>
    <row r="114" spans="1:27" ht="3.75" customHeight="1">
      <c r="A114" s="1739"/>
      <c r="B114" s="1739"/>
      <c r="C114" s="1739"/>
      <c r="D114" s="1739"/>
      <c r="E114" s="1800"/>
      <c r="F114" s="1800"/>
      <c r="G114" s="1800"/>
      <c r="H114" s="1800"/>
      <c r="I114" s="1739"/>
    </row>
    <row r="115" spans="1:27" ht="18.75" customHeight="1">
      <c r="A115" s="3774" t="s">
        <v>1442</v>
      </c>
      <c r="B115" s="3775"/>
      <c r="C115" s="3775"/>
      <c r="D115" s="3775"/>
      <c r="E115" s="3775"/>
      <c r="F115" s="3775"/>
      <c r="G115" s="3775"/>
      <c r="H115" s="3775"/>
      <c r="I115" s="3776"/>
    </row>
    <row r="116" spans="1:27" ht="27" customHeight="1">
      <c r="A116" s="3730" t="s">
        <v>1443</v>
      </c>
      <c r="B116" s="3765" t="s">
        <v>1444</v>
      </c>
      <c r="C116" s="3765" t="s">
        <v>1445</v>
      </c>
      <c r="D116" s="3778" t="s">
        <v>1446</v>
      </c>
      <c r="E116" s="3779"/>
      <c r="F116" s="3773" t="s">
        <v>1447</v>
      </c>
      <c r="G116" s="3773"/>
      <c r="H116" s="3730" t="s">
        <v>1448</v>
      </c>
      <c r="I116" s="3730"/>
    </row>
    <row r="117" spans="1:27" ht="18.75" customHeight="1">
      <c r="A117" s="3730"/>
      <c r="B117" s="3766"/>
      <c r="C117" s="3766"/>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0</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0</v>
      </c>
      <c r="I118" s="3452">
        <f ca="1">ROUND(IF(D32="楼面单价",C32,H118*10000/B118),0)</f>
        <v>2408</v>
      </c>
    </row>
    <row r="119" spans="1:27" ht="18.75" customHeight="1">
      <c r="A119" s="3730" t="s">
        <v>1452</v>
      </c>
      <c r="B119" s="3730"/>
      <c r="C119" s="3730"/>
      <c r="D119" s="3770" t="str">
        <f>NUMBERSTRING(INT(D118*10000),2)&amp;"元整"</f>
        <v>零元整</v>
      </c>
      <c r="E119" s="3772"/>
      <c r="F119" s="3770" t="str">
        <f>NUMBERSTRING(INT(F118*10000),2)&amp;"元整"</f>
        <v>零元整</v>
      </c>
      <c r="G119" s="3772"/>
      <c r="H119" s="3770" t="str">
        <f ca="1">NUMBERSTRING(INT(H118*10000),2)&amp;"元整"</f>
        <v>零元整</v>
      </c>
      <c r="I119" s="3772"/>
    </row>
    <row r="120" spans="1:27" ht="18.75" customHeight="1">
      <c r="A120" s="3794" t="str">
        <f>IF(项目基本情况!B9="房地产市场价值","",MID(E103,3,LEN(E103)-2))</f>
        <v>估价师知悉的法定优先受偿款</v>
      </c>
      <c r="B120" s="3795"/>
      <c r="C120" s="3796"/>
      <c r="D120" s="3794">
        <f>H103</f>
        <v>0</v>
      </c>
      <c r="E120" s="3795"/>
      <c r="F120" s="3795"/>
      <c r="G120" s="3795"/>
      <c r="H120" s="3795"/>
      <c r="I120" s="3796"/>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70" t="s">
        <v>1452</v>
      </c>
      <c r="B121" s="3771"/>
      <c r="C121" s="3772"/>
      <c r="D121" s="3770" t="str">
        <f>IF(D120=0,"零元整",NUMBERSTRING(INT(D120*10000),2)&amp;"元整")</f>
        <v>零元整</v>
      </c>
      <c r="E121" s="3771"/>
      <c r="F121" s="3771"/>
      <c r="G121" s="3771"/>
      <c r="H121" s="3771"/>
      <c r="I121" s="3772"/>
      <c r="AA121" s="720"/>
    </row>
    <row r="122" spans="1:27" ht="18.75" customHeight="1">
      <c r="A122" s="3761" t="str">
        <f>IF(项目基本情况!B9="房地产市场价值","",MID(E107,3,LEN(E107)-2))</f>
        <v>房地产抵押价值</v>
      </c>
      <c r="B122" s="3761"/>
      <c r="C122" s="3761"/>
      <c r="D122" s="3794">
        <f ca="1">H107</f>
        <v>0</v>
      </c>
      <c r="E122" s="3795"/>
      <c r="F122" s="3795"/>
      <c r="G122" s="3795"/>
      <c r="H122" s="3795"/>
      <c r="I122" s="3796"/>
      <c r="AA122" s="720"/>
    </row>
    <row r="123" spans="1:27" ht="18.75" customHeight="1">
      <c r="A123" s="3730" t="s">
        <v>1452</v>
      </c>
      <c r="B123" s="3730"/>
      <c r="C123" s="3730"/>
      <c r="D123" s="3770" t="str">
        <f ca="1">NUMBERSTRING(INT(D122*10000),2)&amp;"元整"</f>
        <v>零元整</v>
      </c>
      <c r="E123" s="3771"/>
      <c r="F123" s="3771"/>
      <c r="G123" s="3771"/>
      <c r="H123" s="3771"/>
      <c r="I123" s="3772"/>
      <c r="AA123" s="720"/>
    </row>
    <row r="124" spans="1:27" ht="18.75" customHeight="1">
      <c r="A124" s="3761" t="str">
        <f>IF(项目基本情况!B9="房地产市场价值","",MID(E109,3,LEN(E109)-2))</f>
        <v/>
      </c>
      <c r="B124" s="3761"/>
      <c r="C124" s="3761"/>
      <c r="D124" s="3794" t="str">
        <f>H109</f>
        <v>——</v>
      </c>
      <c r="E124" s="3795"/>
      <c r="F124" s="3795"/>
      <c r="G124" s="3795"/>
      <c r="H124" s="3795"/>
      <c r="I124" s="3796"/>
      <c r="AA124" s="720"/>
    </row>
    <row r="125" spans="1:27" ht="18.75" customHeight="1">
      <c r="A125" s="3730" t="s">
        <v>1452</v>
      </c>
      <c r="B125" s="3730"/>
      <c r="C125" s="3730"/>
      <c r="D125" s="3770" t="e">
        <f>NUMBERSTRING(INT(D124*10000),2)&amp;"元整"</f>
        <v>#VALUE!</v>
      </c>
      <c r="E125" s="3771"/>
      <c r="F125" s="3771"/>
      <c r="G125" s="3771"/>
      <c r="H125" s="3771"/>
      <c r="I125" s="3772"/>
      <c r="AA125" s="720"/>
    </row>
    <row r="126" spans="1:27" ht="18.75" customHeight="1">
      <c r="A126" s="3761" t="str">
        <f>IF(项目基本情况!B9="房地产市场价值","",MID(E111,3,LEN(E111)-2))</f>
        <v/>
      </c>
      <c r="B126" s="3761"/>
      <c r="C126" s="3761"/>
      <c r="D126" s="3794" t="str">
        <f>H111</f>
        <v>——</v>
      </c>
      <c r="E126" s="3795"/>
      <c r="F126" s="3795"/>
      <c r="G126" s="3795"/>
      <c r="H126" s="3795"/>
      <c r="I126" s="3796"/>
      <c r="AA126" s="720"/>
    </row>
    <row r="127" spans="1:27" ht="18.75" customHeight="1">
      <c r="A127" s="3730" t="s">
        <v>1452</v>
      </c>
      <c r="B127" s="3730"/>
      <c r="C127" s="3730"/>
      <c r="D127" s="3770" t="e">
        <f>NUMBERSTRING(INT(D126*10000),2)&amp;"元整"</f>
        <v>#VALUE!</v>
      </c>
      <c r="E127" s="3771"/>
      <c r="F127" s="3771"/>
      <c r="G127" s="3771"/>
      <c r="H127" s="3771"/>
      <c r="I127" s="3772"/>
      <c r="AA127" s="720"/>
    </row>
    <row r="128" spans="1:27" ht="21.75" customHeight="1">
      <c r="A128" s="3777" t="s">
        <v>1453</v>
      </c>
      <c r="B128" s="3777"/>
      <c r="C128" s="3777"/>
      <c r="D128" s="3777"/>
      <c r="E128" s="3777"/>
      <c r="F128" s="3777"/>
      <c r="G128" s="3777"/>
      <c r="H128" s="3777"/>
      <c r="I128" s="377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7" priority="10" stopIfTrue="1" operator="equal">
      <formula>25</formula>
    </cfRule>
  </conditionalFormatting>
  <conditionalFormatting sqref="C8:C9">
    <cfRule type="cellIs" dxfId="76" priority="9" stopIfTrue="1" operator="equal">
      <formula>15</formula>
    </cfRule>
  </conditionalFormatting>
  <conditionalFormatting sqref="C14:C16">
    <cfRule type="cellIs" dxfId="75" priority="8" stopIfTrue="1" operator="equal">
      <formula>30</formula>
    </cfRule>
  </conditionalFormatting>
  <conditionalFormatting sqref="D5:D7">
    <cfRule type="cellIs" dxfId="74" priority="7" stopIfTrue="1" operator="equal">
      <formula>25</formula>
    </cfRule>
  </conditionalFormatting>
  <conditionalFormatting sqref="D8:D9">
    <cfRule type="cellIs" dxfId="73" priority="6" stopIfTrue="1" operator="equal">
      <formula>15</formula>
    </cfRule>
  </conditionalFormatting>
  <conditionalFormatting sqref="C10:D13">
    <cfRule type="cellIs" dxfId="72" priority="5" stopIfTrue="1" operator="equal">
      <formula>15</formula>
    </cfRule>
  </conditionalFormatting>
  <conditionalFormatting sqref="D14:D16">
    <cfRule type="cellIs" dxfId="71" priority="4" stopIfTrue="1" operator="equal">
      <formula>30</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E36">
    <cfRule type="expression" dxfId="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t="e">
        <f>IF(E1="项目模式",IF(C2="——",ROUND(C37*D3/10000,0),ROUND(C37*D3/10000,0)-D2),IF(E1="单套模式",IF(C2="——",ROUND(C37*D3/10000,4),ROUND(C37*D3/10000,4)-D2)))</f>
        <v>#DIV/0!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IF(C2="——",C37,ROUND(B2*10000/D3,0))</f>
        <v>#DIV/0!</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28" t="s">
        <v>1770</v>
      </c>
      <c r="D4" s="3829"/>
      <c r="E4" s="3830" t="s">
        <v>1771</v>
      </c>
      <c r="F4" s="3831"/>
      <c r="G4" s="3828" t="s">
        <v>1772</v>
      </c>
      <c r="H4" s="3829"/>
      <c r="I4" s="3828" t="s">
        <v>1773</v>
      </c>
      <c r="J4" s="3829"/>
      <c r="K4" s="556" t="s">
        <v>1774</v>
      </c>
      <c r="L4" s="2699"/>
      <c r="M4" s="2700"/>
      <c r="N4" s="2700"/>
      <c r="O4" s="2700"/>
      <c r="P4" s="3832" t="s">
        <v>1775</v>
      </c>
      <c r="Q4" s="3833"/>
      <c r="R4" s="3838" t="s">
        <v>1771</v>
      </c>
      <c r="S4" s="3839"/>
      <c r="T4" s="3838" t="s">
        <v>1772</v>
      </c>
      <c r="U4" s="3839"/>
      <c r="V4" s="3844" t="s">
        <v>1773</v>
      </c>
      <c r="W4" s="3844"/>
      <c r="X4" s="1347"/>
      <c r="Y4" s="3838" t="s">
        <v>1775</v>
      </c>
      <c r="Z4" s="3839"/>
      <c r="AA4" s="3825" t="s">
        <v>1771</v>
      </c>
      <c r="AB4" s="3826" t="s">
        <v>1772</v>
      </c>
      <c r="AC4" s="3825" t="s">
        <v>1773</v>
      </c>
    </row>
    <row r="5" spans="1:29" ht="15">
      <c r="A5" s="358"/>
      <c r="B5" s="359"/>
      <c r="C5" s="3852" t="s">
        <v>1673</v>
      </c>
      <c r="D5" s="3848"/>
      <c r="E5" s="3855" t="s">
        <v>3514</v>
      </c>
      <c r="F5" s="3856"/>
      <c r="G5" s="3847" t="s">
        <v>3515</v>
      </c>
      <c r="H5" s="3848"/>
      <c r="I5" s="3847" t="s">
        <v>3482</v>
      </c>
      <c r="J5" s="3848"/>
      <c r="K5" s="556"/>
      <c r="L5" s="2699"/>
      <c r="M5" s="2700"/>
      <c r="N5" s="2700"/>
      <c r="O5" s="2700"/>
      <c r="P5" s="3834"/>
      <c r="Q5" s="3835"/>
      <c r="R5" s="3840"/>
      <c r="S5" s="3841"/>
      <c r="T5" s="3840"/>
      <c r="U5" s="3841"/>
      <c r="V5" s="3844"/>
      <c r="W5" s="3844"/>
      <c r="X5" s="1347"/>
      <c r="Y5" s="3840"/>
      <c r="Z5" s="3841"/>
      <c r="AA5" s="3826"/>
      <c r="AB5" s="3826"/>
      <c r="AC5" s="3826"/>
    </row>
    <row r="6" spans="1:29" ht="15.75" thickBot="1">
      <c r="A6" s="360"/>
      <c r="B6" s="361"/>
      <c r="C6" s="3845" t="s">
        <v>1677</v>
      </c>
      <c r="D6" s="3846"/>
      <c r="E6" s="3853" t="s">
        <v>1677</v>
      </c>
      <c r="F6" s="3854"/>
      <c r="G6" s="3845" t="s">
        <v>1677</v>
      </c>
      <c r="H6" s="3846"/>
      <c r="I6" s="3845" t="s">
        <v>1677</v>
      </c>
      <c r="J6" s="3846"/>
      <c r="K6" s="556" t="s">
        <v>1678</v>
      </c>
      <c r="L6" s="2699"/>
      <c r="M6" s="2700"/>
      <c r="N6" s="2700"/>
      <c r="O6" s="2700"/>
      <c r="P6" s="3836"/>
      <c r="Q6" s="3837"/>
      <c r="R6" s="3840"/>
      <c r="S6" s="3841"/>
      <c r="T6" s="3842"/>
      <c r="U6" s="3843"/>
      <c r="V6" s="3844"/>
      <c r="W6" s="3844"/>
      <c r="X6" s="1347"/>
      <c r="Y6" s="3842"/>
      <c r="Z6" s="3843"/>
      <c r="AA6" s="3827"/>
      <c r="AB6" s="3827"/>
      <c r="AC6" s="3827"/>
    </row>
    <row r="7" spans="1:29" s="108" customFormat="1" ht="15.75" thickBot="1">
      <c r="A7" s="362" t="s">
        <v>1679</v>
      </c>
      <c r="B7" s="363"/>
      <c r="C7" s="364">
        <f>'数据-取费表'!B2</f>
        <v>45320</v>
      </c>
      <c r="D7" s="365">
        <v>100</v>
      </c>
      <c r="E7" s="366">
        <v>44835</v>
      </c>
      <c r="F7" s="367">
        <f>SUMIF(46:46,YEAR(E7)&amp;"-"&amp;MONTH(E7),47:47)</f>
        <v>0</v>
      </c>
      <c r="G7" s="1962">
        <v>45078</v>
      </c>
      <c r="H7" s="365">
        <f>SUMIF(46:46,YEAR(G7)&amp;"-"&amp;MONTH(G7),47:47)</f>
        <v>100</v>
      </c>
      <c r="I7" s="366">
        <v>45139</v>
      </c>
      <c r="J7" s="365">
        <f>SUMIF(46:46,YEAR(I7)&amp;"-"&amp;MONTH(I7),47:47)</f>
        <v>100</v>
      </c>
      <c r="K7" s="557"/>
      <c r="L7" s="2701"/>
      <c r="M7" s="2702"/>
      <c r="N7" s="2702"/>
      <c r="O7" s="2702"/>
      <c r="P7" s="3849" t="s">
        <v>1680</v>
      </c>
      <c r="Q7" s="3851"/>
      <c r="R7" s="696" t="s">
        <v>14</v>
      </c>
      <c r="S7" s="697">
        <f t="shared" ref="S7:S14" si="0">F7</f>
        <v>0</v>
      </c>
      <c r="T7" s="696" t="s">
        <v>14</v>
      </c>
      <c r="U7" s="697">
        <f t="shared" ref="U7:U14" si="1">H7</f>
        <v>100</v>
      </c>
      <c r="V7" s="696" t="s">
        <v>14</v>
      </c>
      <c r="W7" s="697">
        <f t="shared" ref="W7:W14" si="2">J7</f>
        <v>100</v>
      </c>
      <c r="X7" s="698"/>
      <c r="Y7" s="3849" t="s">
        <v>1680</v>
      </c>
      <c r="Z7" s="3850"/>
      <c r="AA7" s="699" t="e">
        <f>D7/F7</f>
        <v>#DIV/0!</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49" t="s">
        <v>1683</v>
      </c>
      <c r="Q8" s="3850"/>
      <c r="R8" s="696" t="s">
        <v>14</v>
      </c>
      <c r="S8" s="697">
        <f t="shared" si="0"/>
        <v>100</v>
      </c>
      <c r="T8" s="696" t="s">
        <v>14</v>
      </c>
      <c r="U8" s="697">
        <f t="shared" si="1"/>
        <v>100</v>
      </c>
      <c r="V8" s="696" t="s">
        <v>14</v>
      </c>
      <c r="W8" s="697">
        <f t="shared" si="2"/>
        <v>100</v>
      </c>
      <c r="X8" s="698"/>
      <c r="Y8" s="3849" t="s">
        <v>1683</v>
      </c>
      <c r="Z8" s="3850"/>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13" t="s">
        <v>1686</v>
      </c>
      <c r="Q9" s="1335" t="str">
        <f t="shared" ref="Q9:Q14" si="6">B9</f>
        <v>用途</v>
      </c>
      <c r="R9" s="696" t="s">
        <v>14</v>
      </c>
      <c r="S9" s="697">
        <f t="shared" si="0"/>
        <v>100</v>
      </c>
      <c r="T9" s="696" t="s">
        <v>14</v>
      </c>
      <c r="U9" s="697">
        <f t="shared" si="1"/>
        <v>100</v>
      </c>
      <c r="V9" s="696" t="s">
        <v>14</v>
      </c>
      <c r="W9" s="697">
        <f t="shared" si="2"/>
        <v>100</v>
      </c>
      <c r="X9" s="698"/>
      <c r="Y9" s="3717"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13"/>
      <c r="Q10" s="1335" t="str">
        <f t="shared" si="6"/>
        <v>土地使用年限（年）</v>
      </c>
      <c r="R10" s="696" t="s">
        <v>14</v>
      </c>
      <c r="S10" s="697">
        <f t="shared" si="0"/>
        <v>100</v>
      </c>
      <c r="T10" s="696" t="s">
        <v>14</v>
      </c>
      <c r="U10" s="697">
        <f t="shared" si="1"/>
        <v>100</v>
      </c>
      <c r="V10" s="696" t="s">
        <v>14</v>
      </c>
      <c r="W10" s="697">
        <f t="shared" si="2"/>
        <v>100</v>
      </c>
      <c r="X10" s="698"/>
      <c r="Y10" s="3717"/>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13"/>
      <c r="Q11" s="1335">
        <f t="shared" si="6"/>
        <v>111</v>
      </c>
      <c r="R11" s="696" t="s">
        <v>14</v>
      </c>
      <c r="S11" s="697">
        <f t="shared" si="0"/>
        <v>100</v>
      </c>
      <c r="T11" s="696" t="s">
        <v>14</v>
      </c>
      <c r="U11" s="697">
        <f t="shared" si="1"/>
        <v>100</v>
      </c>
      <c r="V11" s="696" t="s">
        <v>14</v>
      </c>
      <c r="W11" s="697">
        <f t="shared" si="2"/>
        <v>100</v>
      </c>
      <c r="X11" s="698"/>
      <c r="Y11" s="3717"/>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13"/>
      <c r="Q12" s="1335">
        <f t="shared" si="6"/>
        <v>111</v>
      </c>
      <c r="R12" s="696" t="s">
        <v>14</v>
      </c>
      <c r="S12" s="697">
        <f t="shared" si="0"/>
        <v>100</v>
      </c>
      <c r="T12" s="696" t="s">
        <v>14</v>
      </c>
      <c r="U12" s="697">
        <f t="shared" si="1"/>
        <v>100</v>
      </c>
      <c r="V12" s="696" t="s">
        <v>14</v>
      </c>
      <c r="W12" s="697">
        <f t="shared" si="2"/>
        <v>100</v>
      </c>
      <c r="X12" s="698"/>
      <c r="Y12" s="3717"/>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13"/>
      <c r="Q13" s="1335">
        <f t="shared" si="6"/>
        <v>111</v>
      </c>
      <c r="R13" s="696" t="s">
        <v>14</v>
      </c>
      <c r="S13" s="697">
        <f t="shared" si="0"/>
        <v>100</v>
      </c>
      <c r="T13" s="696" t="s">
        <v>14</v>
      </c>
      <c r="U13" s="697">
        <f t="shared" si="1"/>
        <v>100</v>
      </c>
      <c r="V13" s="696" t="s">
        <v>14</v>
      </c>
      <c r="W13" s="697">
        <f t="shared" si="2"/>
        <v>100</v>
      </c>
      <c r="X13" s="698"/>
      <c r="Y13" s="3717"/>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15" t="s">
        <v>1691</v>
      </c>
      <c r="Q14" s="1344" t="str">
        <f t="shared" si="6"/>
        <v>交通便捷度</v>
      </c>
      <c r="R14" s="700" t="s">
        <v>14</v>
      </c>
      <c r="S14" s="701">
        <f t="shared" si="0"/>
        <v>100</v>
      </c>
      <c r="T14" s="700" t="s">
        <v>14</v>
      </c>
      <c r="U14" s="701">
        <f t="shared" si="1"/>
        <v>103</v>
      </c>
      <c r="V14" s="700" t="s">
        <v>14</v>
      </c>
      <c r="W14" s="701">
        <f t="shared" si="2"/>
        <v>103</v>
      </c>
      <c r="X14" s="1347"/>
      <c r="Y14" s="3815"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16"/>
      <c r="Q15" s="1344"/>
      <c r="R15" s="700"/>
      <c r="S15" s="701"/>
      <c r="T15" s="700"/>
      <c r="U15" s="701"/>
      <c r="V15" s="700"/>
      <c r="W15" s="701"/>
      <c r="X15" s="1347"/>
      <c r="Y15" s="3816"/>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16"/>
      <c r="Q16" s="1344" t="str">
        <f>B16</f>
        <v>公共配套设施</v>
      </c>
      <c r="R16" s="700" t="s">
        <v>14</v>
      </c>
      <c r="S16" s="701">
        <f>F16</f>
        <v>100</v>
      </c>
      <c r="T16" s="700" t="s">
        <v>14</v>
      </c>
      <c r="U16" s="701">
        <f>H16</f>
        <v>102</v>
      </c>
      <c r="V16" s="700" t="s">
        <v>14</v>
      </c>
      <c r="W16" s="701">
        <f>J16</f>
        <v>102</v>
      </c>
      <c r="X16" s="1347"/>
      <c r="Y16" s="3816"/>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16"/>
      <c r="Q17" s="1344"/>
      <c r="R17" s="700"/>
      <c r="S17" s="701"/>
      <c r="T17" s="700"/>
      <c r="U17" s="701"/>
      <c r="V17" s="700"/>
      <c r="W17" s="701"/>
      <c r="X17" s="1347"/>
      <c r="Y17" s="3816"/>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16"/>
      <c r="Q18" s="1344" t="str">
        <f>B18</f>
        <v>基础设施水平</v>
      </c>
      <c r="R18" s="700" t="s">
        <v>14</v>
      </c>
      <c r="S18" s="701">
        <f>F18</f>
        <v>100</v>
      </c>
      <c r="T18" s="700" t="s">
        <v>14</v>
      </c>
      <c r="U18" s="701">
        <f>H18</f>
        <v>100</v>
      </c>
      <c r="V18" s="700" t="s">
        <v>14</v>
      </c>
      <c r="W18" s="701">
        <f>J18</f>
        <v>100</v>
      </c>
      <c r="X18" s="1347"/>
      <c r="Y18" s="3816"/>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16"/>
      <c r="Q19" s="1344"/>
      <c r="R19" s="700"/>
      <c r="S19" s="701"/>
      <c r="T19" s="700"/>
      <c r="U19" s="701"/>
      <c r="V19" s="700"/>
      <c r="W19" s="701"/>
      <c r="X19" s="1347"/>
      <c r="Y19" s="3816"/>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16"/>
      <c r="Q20" s="1344" t="str">
        <f>B20</f>
        <v>自然及人文环境</v>
      </c>
      <c r="R20" s="700" t="s">
        <v>14</v>
      </c>
      <c r="S20" s="701">
        <f>F20</f>
        <v>98</v>
      </c>
      <c r="T20" s="700" t="s">
        <v>14</v>
      </c>
      <c r="U20" s="701">
        <f>H20</f>
        <v>98</v>
      </c>
      <c r="V20" s="700" t="s">
        <v>14</v>
      </c>
      <c r="W20" s="701">
        <f>J20</f>
        <v>98</v>
      </c>
      <c r="X20" s="1347"/>
      <c r="Y20" s="3816"/>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16"/>
      <c r="Q21" s="1344"/>
      <c r="R21" s="700"/>
      <c r="S21" s="701"/>
      <c r="T21" s="700"/>
      <c r="U21" s="701"/>
      <c r="V21" s="700"/>
      <c r="W21" s="701"/>
      <c r="X21" s="1347"/>
      <c r="Y21" s="3816"/>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16"/>
      <c r="Q22" s="1344" t="str">
        <f>B22</f>
        <v>楼层</v>
      </c>
      <c r="R22" s="700" t="s">
        <v>14</v>
      </c>
      <c r="S22" s="701">
        <f>F22</f>
        <v>100</v>
      </c>
      <c r="T22" s="700" t="s">
        <v>14</v>
      </c>
      <c r="U22" s="701">
        <f>H22</f>
        <v>100</v>
      </c>
      <c r="V22" s="700" t="s">
        <v>14</v>
      </c>
      <c r="W22" s="701">
        <f>J22</f>
        <v>100</v>
      </c>
      <c r="X22" s="1347"/>
      <c r="Y22" s="3816"/>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16"/>
      <c r="Q23" s="1344">
        <f>B23</f>
        <v>111</v>
      </c>
      <c r="R23" s="700" t="s">
        <v>14</v>
      </c>
      <c r="S23" s="701">
        <f>F23</f>
        <v>100</v>
      </c>
      <c r="T23" s="700" t="s">
        <v>14</v>
      </c>
      <c r="U23" s="701">
        <f>H23</f>
        <v>100</v>
      </c>
      <c r="V23" s="700" t="s">
        <v>14</v>
      </c>
      <c r="W23" s="701">
        <f>J23</f>
        <v>100</v>
      </c>
      <c r="X23" s="1347"/>
      <c r="Y23" s="3816"/>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16"/>
      <c r="Q24" s="1344">
        <f t="shared" ref="Q24:Q34" si="11">B24</f>
        <v>111</v>
      </c>
      <c r="R24" s="700" t="s">
        <v>14</v>
      </c>
      <c r="S24" s="701">
        <f>F24</f>
        <v>100</v>
      </c>
      <c r="T24" s="700" t="s">
        <v>14</v>
      </c>
      <c r="U24" s="701">
        <f>H24</f>
        <v>100</v>
      </c>
      <c r="V24" s="700" t="s">
        <v>14</v>
      </c>
      <c r="W24" s="701">
        <f>J24</f>
        <v>100</v>
      </c>
      <c r="X24" s="1347"/>
      <c r="Y24" s="3816"/>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16"/>
      <c r="Q25" s="1335">
        <f t="shared" si="11"/>
        <v>111</v>
      </c>
      <c r="R25" s="696" t="s">
        <v>14</v>
      </c>
      <c r="S25" s="697">
        <f>F25</f>
        <v>100</v>
      </c>
      <c r="T25" s="696" t="s">
        <v>14</v>
      </c>
      <c r="U25" s="697">
        <f>H25</f>
        <v>100</v>
      </c>
      <c r="V25" s="696" t="s">
        <v>14</v>
      </c>
      <c r="W25" s="697">
        <f>J25</f>
        <v>100</v>
      </c>
      <c r="X25" s="698"/>
      <c r="Y25" s="3816"/>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60"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20"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20"/>
      <c r="Q27" s="702" t="str">
        <f t="shared" si="11"/>
        <v>成新率</v>
      </c>
      <c r="R27" s="703" t="s">
        <v>14</v>
      </c>
      <c r="S27" s="704">
        <f t="shared" si="12"/>
        <v>100</v>
      </c>
      <c r="T27" s="703" t="s">
        <v>14</v>
      </c>
      <c r="U27" s="704">
        <f t="shared" si="13"/>
        <v>100</v>
      </c>
      <c r="V27" s="703" t="s">
        <v>14</v>
      </c>
      <c r="W27" s="704">
        <f t="shared" si="14"/>
        <v>100</v>
      </c>
      <c r="X27" s="705"/>
      <c r="Y27" s="3820"/>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20"/>
      <c r="Q28" s="1344" t="str">
        <f t="shared" si="11"/>
        <v>物业等级</v>
      </c>
      <c r="R28" s="700" t="s">
        <v>14</v>
      </c>
      <c r="S28" s="701">
        <f t="shared" si="12"/>
        <v>100</v>
      </c>
      <c r="T28" s="700" t="s">
        <v>14</v>
      </c>
      <c r="U28" s="701">
        <f t="shared" si="13"/>
        <v>100</v>
      </c>
      <c r="V28" s="700" t="s">
        <v>14</v>
      </c>
      <c r="W28" s="701">
        <f t="shared" si="14"/>
        <v>100</v>
      </c>
      <c r="X28" s="1347"/>
      <c r="Y28" s="3820"/>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20"/>
      <c r="Q29" s="1344" t="str">
        <f t="shared" si="11"/>
        <v>有无电梯</v>
      </c>
      <c r="R29" s="700" t="s">
        <v>14</v>
      </c>
      <c r="S29" s="701">
        <f t="shared" si="12"/>
        <v>100</v>
      </c>
      <c r="T29" s="700" t="s">
        <v>14</v>
      </c>
      <c r="U29" s="701">
        <f t="shared" si="13"/>
        <v>100</v>
      </c>
      <c r="V29" s="700" t="s">
        <v>14</v>
      </c>
      <c r="W29" s="701">
        <f t="shared" si="14"/>
        <v>100</v>
      </c>
      <c r="X29" s="1347"/>
      <c r="Y29" s="3820"/>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20"/>
      <c r="Q30" s="1344" t="str">
        <f t="shared" si="11"/>
        <v>建筑面积</v>
      </c>
      <c r="R30" s="700" t="s">
        <v>14</v>
      </c>
      <c r="S30" s="701">
        <f t="shared" si="12"/>
        <v>101</v>
      </c>
      <c r="T30" s="700" t="s">
        <v>14</v>
      </c>
      <c r="U30" s="701">
        <f t="shared" si="13"/>
        <v>101</v>
      </c>
      <c r="V30" s="700" t="s">
        <v>14</v>
      </c>
      <c r="W30" s="701">
        <f t="shared" si="14"/>
        <v>100</v>
      </c>
      <c r="X30" s="1347"/>
      <c r="Y30" s="3820"/>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20"/>
      <c r="Q31" s="1335" t="str">
        <f t="shared" si="11"/>
        <v>是否封闭</v>
      </c>
      <c r="R31" s="696" t="s">
        <v>14</v>
      </c>
      <c r="S31" s="697">
        <f t="shared" si="12"/>
        <v>100</v>
      </c>
      <c r="T31" s="696" t="s">
        <v>14</v>
      </c>
      <c r="U31" s="697">
        <f t="shared" si="13"/>
        <v>100</v>
      </c>
      <c r="V31" s="696" t="s">
        <v>14</v>
      </c>
      <c r="W31" s="697">
        <f t="shared" si="14"/>
        <v>100</v>
      </c>
      <c r="X31" s="698"/>
      <c r="Y31" s="3820"/>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20" t="s">
        <v>1696</v>
      </c>
      <c r="Q32" s="1344">
        <f t="shared" si="11"/>
        <v>111</v>
      </c>
      <c r="R32" s="700" t="s">
        <v>14</v>
      </c>
      <c r="S32" s="701">
        <f t="shared" si="12"/>
        <v>100</v>
      </c>
      <c r="T32" s="700" t="s">
        <v>14</v>
      </c>
      <c r="U32" s="701">
        <f t="shared" si="13"/>
        <v>100</v>
      </c>
      <c r="V32" s="700" t="s">
        <v>14</v>
      </c>
      <c r="W32" s="701">
        <f t="shared" si="14"/>
        <v>100</v>
      </c>
      <c r="X32" s="1347"/>
      <c r="Y32" s="3820"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20"/>
      <c r="Q33" s="1344">
        <f t="shared" si="11"/>
        <v>111</v>
      </c>
      <c r="R33" s="700" t="s">
        <v>14</v>
      </c>
      <c r="S33" s="701">
        <f t="shared" si="12"/>
        <v>100</v>
      </c>
      <c r="T33" s="700" t="s">
        <v>14</v>
      </c>
      <c r="U33" s="701">
        <f t="shared" si="13"/>
        <v>100</v>
      </c>
      <c r="V33" s="700" t="s">
        <v>14</v>
      </c>
      <c r="W33" s="701">
        <f t="shared" si="14"/>
        <v>100</v>
      </c>
      <c r="X33" s="1347"/>
      <c r="Y33" s="3820"/>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20"/>
      <c r="Q34" s="1344">
        <f t="shared" si="11"/>
        <v>111</v>
      </c>
      <c r="R34" s="700" t="s">
        <v>14</v>
      </c>
      <c r="S34" s="701">
        <f t="shared" si="12"/>
        <v>100</v>
      </c>
      <c r="T34" s="700" t="s">
        <v>14</v>
      </c>
      <c r="U34" s="701">
        <f t="shared" si="13"/>
        <v>100</v>
      </c>
      <c r="V34" s="700" t="s">
        <v>14</v>
      </c>
      <c r="W34" s="701">
        <f t="shared" si="14"/>
        <v>100</v>
      </c>
      <c r="X34" s="1347"/>
      <c r="Y34" s="3820"/>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13" t="str">
        <f>A35</f>
        <v>成交单价（元/平方米）</v>
      </c>
      <c r="Q35" s="3813"/>
      <c r="R35" s="3814">
        <f>E35</f>
        <v>13272</v>
      </c>
      <c r="S35" s="3814"/>
      <c r="T35" s="3814">
        <f>G35</f>
        <v>15098</v>
      </c>
      <c r="U35" s="3814"/>
      <c r="V35" s="3814">
        <f>I35</f>
        <v>14281</v>
      </c>
      <c r="W35" s="3814"/>
      <c r="X35" s="685"/>
      <c r="Y35" s="707"/>
      <c r="Z35" s="685"/>
      <c r="AA35" s="685"/>
      <c r="AB35" s="685"/>
      <c r="AC35" s="685"/>
    </row>
    <row r="36" spans="1:30" ht="15.75" thickBot="1">
      <c r="A36" s="434" t="s">
        <v>1793</v>
      </c>
      <c r="B36" s="435"/>
      <c r="C36" s="1152" t="e">
        <f>R37</f>
        <v>#DIV/0!</v>
      </c>
      <c r="D36" s="2305" t="s">
        <v>2137</v>
      </c>
      <c r="E36" s="1153" t="e">
        <f>R36</f>
        <v>#DIV/0!</v>
      </c>
      <c r="F36" s="2306"/>
      <c r="G36" s="1152">
        <f>T36</f>
        <v>14519</v>
      </c>
      <c r="H36" s="2306"/>
      <c r="I36" s="1153">
        <f>V36</f>
        <v>13871</v>
      </c>
      <c r="J36" s="2306"/>
      <c r="K36" s="2308">
        <f>F36+H36+J36</f>
        <v>0</v>
      </c>
      <c r="L36" s="2708"/>
      <c r="M36" s="2709"/>
      <c r="N36" s="2700"/>
      <c r="O36" s="2709"/>
      <c r="P36" s="3813" t="str">
        <f>A36</f>
        <v>比较价值（元/平方米）</v>
      </c>
      <c r="Q36" s="3813"/>
      <c r="R36" s="3814" t="e">
        <f>IF(F1="售价",ROUND(PRODUCT(R35,AA7:AA34),0),ROUND(PRODUCT(R35,AA7:AA34),1))</f>
        <v>#DIV/0!</v>
      </c>
      <c r="S36" s="3814"/>
      <c r="T36" s="3814">
        <f>IF(F1="售价",ROUND(PRODUCT(T35,AB7:AB34),0),ROUND(PRODUCT(T35,AB7:AB34),1))</f>
        <v>14519</v>
      </c>
      <c r="U36" s="3814"/>
      <c r="V36" s="3814">
        <f>IF(F1="售价",ROUND(PRODUCT(V35,AC7:AC34),0),ROUND(PRODUCT(V35,AC7:AC34),1))</f>
        <v>13871</v>
      </c>
      <c r="W36" s="3814"/>
      <c r="X36" s="685"/>
      <c r="Y36" s="685"/>
      <c r="Z36" s="685"/>
      <c r="AA36" s="685"/>
      <c r="AB36" s="685"/>
      <c r="AC36" s="685"/>
    </row>
    <row r="37" spans="1:30" ht="15.75" thickBot="1">
      <c r="A37" s="438" t="s">
        <v>1794</v>
      </c>
      <c r="B37" s="439"/>
      <c r="C37" s="1155" t="e">
        <f>R37</f>
        <v>#DIV/0!</v>
      </c>
      <c r="D37" s="1155"/>
      <c r="E37" s="1155"/>
      <c r="F37" s="1155"/>
      <c r="G37" s="1155"/>
      <c r="H37" s="1155"/>
      <c r="I37" s="1155"/>
      <c r="J37" s="1155"/>
      <c r="K37" s="710"/>
      <c r="L37" s="2708"/>
      <c r="M37" s="2709"/>
      <c r="N37" s="2709"/>
      <c r="O37" s="2709"/>
      <c r="P37" s="3810" t="str">
        <f>A37</f>
        <v>估价对象XX用房的比较价值（楼面单价，元/平方米）</v>
      </c>
      <c r="Q37" s="3811"/>
      <c r="R37" s="3936" t="e">
        <f>IF(F1="售价",ROUND(IF(D36="简单平均",AVERAGE(R36:W36),R36*F36+T36*H36+V36*J36),0),ROUND(IF(D36="简单平均",AVERAGE(R36:V36),R36*F36+T36*H36+V36*J36),1))</f>
        <v>#DIV/0!</v>
      </c>
      <c r="S37" s="3936"/>
      <c r="T37" s="3936"/>
      <c r="U37" s="3936"/>
      <c r="V37" s="3936"/>
      <c r="W37" s="3936"/>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t="e">
        <f>IF(E35&lt;E36,E36/E35-1,E35/E36-1)</f>
        <v>#DIV/0!</v>
      </c>
      <c r="F40" s="446" t="e">
        <f>IF(OR(E40&gt;=0.3,E40&lt;=-0.3),"超过30%","")</f>
        <v>#DIV/0!</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t="e">
        <f>IF(E36&lt;G36,G36/E36-1,E36/G36-1)</f>
        <v>#DIV/0!</v>
      </c>
      <c r="F41" s="446" t="e">
        <f>IF(OR(E41&gt;=0.2,E41&lt;=-0.2),"超过20%","")</f>
        <v>#DIV/0!</v>
      </c>
      <c r="G41" s="445">
        <f>IF(G36&lt;I36,I36/G36-1,G36/I36-1)</f>
        <v>4.6716170427510528E-2</v>
      </c>
      <c r="H41" s="446" t="str">
        <f>IF(OR(G41&gt;=0.2,G41&lt;=-0.2),"超过20%","")</f>
        <v/>
      </c>
      <c r="I41" s="445" t="e">
        <f>IF(I36&lt;E36,E36/I36-1,I36/E36-1)</f>
        <v>#DIV/0!</v>
      </c>
      <c r="J41" s="446" t="e">
        <f>IF(OR(I41&gt;=0.2,I41&lt;=-0.2),"超过20%","")</f>
        <v>#DIV/0!</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2024-1</v>
      </c>
      <c r="D46" s="1177">
        <f>EDATE(C46,-1)</f>
        <v>45261</v>
      </c>
      <c r="E46" s="1177">
        <f t="shared" ref="E46:O46" si="16">EDATE(D46,-1)</f>
        <v>45231</v>
      </c>
      <c r="F46" s="1177">
        <f t="shared" si="16"/>
        <v>45200</v>
      </c>
      <c r="G46" s="1177">
        <f t="shared" si="16"/>
        <v>45170</v>
      </c>
      <c r="H46" s="1177">
        <f t="shared" si="16"/>
        <v>45139</v>
      </c>
      <c r="I46" s="1177">
        <f t="shared" si="16"/>
        <v>45108</v>
      </c>
      <c r="J46" s="1177">
        <f t="shared" si="16"/>
        <v>45078</v>
      </c>
      <c r="K46" s="1177">
        <f t="shared" si="16"/>
        <v>45047</v>
      </c>
      <c r="L46" s="1177">
        <f t="shared" si="16"/>
        <v>45017</v>
      </c>
      <c r="M46" s="1177">
        <f t="shared" si="16"/>
        <v>44986</v>
      </c>
      <c r="N46" s="1177">
        <f t="shared" si="16"/>
        <v>44958</v>
      </c>
      <c r="O46" s="1177">
        <f t="shared" si="16"/>
        <v>44927</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28" t="s">
        <v>1770</v>
      </c>
      <c r="D4" s="3829"/>
      <c r="E4" s="3830" t="s">
        <v>1771</v>
      </c>
      <c r="F4" s="3831"/>
      <c r="G4" s="3828" t="s">
        <v>1772</v>
      </c>
      <c r="H4" s="3829"/>
      <c r="I4" s="3828" t="s">
        <v>1773</v>
      </c>
      <c r="J4" s="3829"/>
      <c r="K4" s="556" t="s">
        <v>1774</v>
      </c>
      <c r="L4" s="2699"/>
      <c r="M4" s="2700"/>
      <c r="N4" s="2700"/>
      <c r="O4" s="2700"/>
      <c r="P4" s="3832" t="s">
        <v>1775</v>
      </c>
      <c r="Q4" s="3833"/>
      <c r="R4" s="3838" t="s">
        <v>1771</v>
      </c>
      <c r="S4" s="3839"/>
      <c r="T4" s="3838" t="s">
        <v>1772</v>
      </c>
      <c r="U4" s="3839"/>
      <c r="V4" s="3844" t="s">
        <v>1773</v>
      </c>
      <c r="W4" s="3844"/>
      <c r="X4" s="1347"/>
      <c r="Y4" s="3838" t="s">
        <v>1775</v>
      </c>
      <c r="Z4" s="3839"/>
      <c r="AA4" s="3825" t="s">
        <v>1771</v>
      </c>
      <c r="AB4" s="3826" t="s">
        <v>1772</v>
      </c>
      <c r="AC4" s="3825" t="s">
        <v>1773</v>
      </c>
    </row>
    <row r="5" spans="1:29" ht="15">
      <c r="A5" s="358"/>
      <c r="B5" s="359"/>
      <c r="C5" s="3852" t="s">
        <v>1673</v>
      </c>
      <c r="D5" s="3848"/>
      <c r="E5" s="3861" t="s">
        <v>1674</v>
      </c>
      <c r="F5" s="3856"/>
      <c r="G5" s="3852" t="s">
        <v>1675</v>
      </c>
      <c r="H5" s="3848"/>
      <c r="I5" s="3852" t="s">
        <v>1676</v>
      </c>
      <c r="J5" s="3848"/>
      <c r="K5" s="556"/>
      <c r="L5" s="2699"/>
      <c r="M5" s="2700"/>
      <c r="N5" s="2700"/>
      <c r="O5" s="2700"/>
      <c r="P5" s="3834"/>
      <c r="Q5" s="3835"/>
      <c r="R5" s="3840"/>
      <c r="S5" s="3841"/>
      <c r="T5" s="3840"/>
      <c r="U5" s="3841"/>
      <c r="V5" s="3844"/>
      <c r="W5" s="3844"/>
      <c r="X5" s="1347"/>
      <c r="Y5" s="3840"/>
      <c r="Z5" s="3841"/>
      <c r="AA5" s="3826"/>
      <c r="AB5" s="3826"/>
      <c r="AC5" s="3826"/>
    </row>
    <row r="6" spans="1:29" ht="15.75" thickBot="1">
      <c r="A6" s="360"/>
      <c r="B6" s="361"/>
      <c r="C6" s="3937" t="s">
        <v>1919</v>
      </c>
      <c r="D6" s="3938"/>
      <c r="E6" s="3939" t="s">
        <v>1919</v>
      </c>
      <c r="F6" s="3940"/>
      <c r="G6" s="3937" t="s">
        <v>1919</v>
      </c>
      <c r="H6" s="3938"/>
      <c r="I6" s="3937" t="s">
        <v>1919</v>
      </c>
      <c r="J6" s="3938"/>
      <c r="K6" s="556" t="s">
        <v>1678</v>
      </c>
      <c r="L6" s="2699"/>
      <c r="M6" s="2700"/>
      <c r="N6" s="2700"/>
      <c r="O6" s="2700"/>
      <c r="P6" s="3836"/>
      <c r="Q6" s="3837"/>
      <c r="R6" s="3840"/>
      <c r="S6" s="3841"/>
      <c r="T6" s="3842"/>
      <c r="U6" s="3843"/>
      <c r="V6" s="3844"/>
      <c r="W6" s="3844"/>
      <c r="X6" s="1347"/>
      <c r="Y6" s="3842"/>
      <c r="Z6" s="3843"/>
      <c r="AA6" s="3827"/>
      <c r="AB6" s="3827"/>
      <c r="AC6" s="3827"/>
    </row>
    <row r="7" spans="1:29" s="108" customFormat="1" ht="15.75" thickBot="1">
      <c r="A7" s="362" t="s">
        <v>1679</v>
      </c>
      <c r="B7" s="363"/>
      <c r="C7" s="364">
        <f>'数据-取费表'!B2</f>
        <v>45320</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49" t="s">
        <v>1680</v>
      </c>
      <c r="Q7" s="3851"/>
      <c r="R7" s="696" t="s">
        <v>14</v>
      </c>
      <c r="S7" s="697">
        <f t="shared" ref="S7:S15" si="0">F7</f>
        <v>0</v>
      </c>
      <c r="T7" s="696" t="s">
        <v>14</v>
      </c>
      <c r="U7" s="697">
        <f t="shared" ref="U7:U15" si="1">H7</f>
        <v>0</v>
      </c>
      <c r="V7" s="696" t="s">
        <v>14</v>
      </c>
      <c r="W7" s="697">
        <f t="shared" ref="W7:W15" si="2">J7</f>
        <v>0</v>
      </c>
      <c r="X7" s="698"/>
      <c r="Y7" s="3849" t="s">
        <v>1680</v>
      </c>
      <c r="Z7" s="3850"/>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49" t="s">
        <v>1683</v>
      </c>
      <c r="Q8" s="3850"/>
      <c r="R8" s="696" t="s">
        <v>14</v>
      </c>
      <c r="S8" s="697">
        <f t="shared" si="0"/>
        <v>0</v>
      </c>
      <c r="T8" s="696" t="s">
        <v>14</v>
      </c>
      <c r="U8" s="697">
        <f t="shared" si="1"/>
        <v>0</v>
      </c>
      <c r="V8" s="696" t="s">
        <v>14</v>
      </c>
      <c r="W8" s="697">
        <f t="shared" si="2"/>
        <v>0</v>
      </c>
      <c r="X8" s="698"/>
      <c r="Y8" s="3849" t="s">
        <v>1683</v>
      </c>
      <c r="Z8" s="3850"/>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13" t="s">
        <v>1686</v>
      </c>
      <c r="Q9" s="1335" t="str">
        <f t="shared" ref="Q9:Q15" si="6">B9</f>
        <v>用途</v>
      </c>
      <c r="R9" s="696" t="s">
        <v>14</v>
      </c>
      <c r="S9" s="697">
        <f t="shared" si="0"/>
        <v>100</v>
      </c>
      <c r="T9" s="696" t="s">
        <v>14</v>
      </c>
      <c r="U9" s="697">
        <f t="shared" si="1"/>
        <v>100</v>
      </c>
      <c r="V9" s="696" t="s">
        <v>14</v>
      </c>
      <c r="W9" s="697">
        <f t="shared" si="2"/>
        <v>100</v>
      </c>
      <c r="X9" s="698"/>
      <c r="Y9" s="3717"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13"/>
      <c r="Q10" s="1335" t="str">
        <f t="shared" si="6"/>
        <v>土地使用年限（年）</v>
      </c>
      <c r="R10" s="696" t="s">
        <v>14</v>
      </c>
      <c r="S10" s="697">
        <f t="shared" si="0"/>
        <v>106</v>
      </c>
      <c r="T10" s="696" t="s">
        <v>14</v>
      </c>
      <c r="U10" s="697">
        <f t="shared" si="1"/>
        <v>106</v>
      </c>
      <c r="V10" s="696" t="s">
        <v>14</v>
      </c>
      <c r="W10" s="697">
        <f t="shared" si="2"/>
        <v>106</v>
      </c>
      <c r="X10" s="698"/>
      <c r="Y10" s="3717"/>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13"/>
      <c r="Q11" s="1335" t="str">
        <f t="shared" si="6"/>
        <v>容积率</v>
      </c>
      <c r="R11" s="696" t="s">
        <v>14</v>
      </c>
      <c r="S11" s="697" t="e">
        <f t="shared" si="0"/>
        <v>#N/A</v>
      </c>
      <c r="T11" s="696" t="s">
        <v>14</v>
      </c>
      <c r="U11" s="697" t="e">
        <f t="shared" si="1"/>
        <v>#N/A</v>
      </c>
      <c r="V11" s="696" t="s">
        <v>14</v>
      </c>
      <c r="W11" s="697" t="e">
        <f t="shared" si="2"/>
        <v>#N/A</v>
      </c>
      <c r="X11" s="698"/>
      <c r="Y11" s="3717"/>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13"/>
      <c r="Q12" s="1335">
        <f t="shared" si="6"/>
        <v>111</v>
      </c>
      <c r="R12" s="696" t="s">
        <v>14</v>
      </c>
      <c r="S12" s="697">
        <f t="shared" si="0"/>
        <v>100</v>
      </c>
      <c r="T12" s="696" t="s">
        <v>14</v>
      </c>
      <c r="U12" s="697">
        <f t="shared" si="1"/>
        <v>100</v>
      </c>
      <c r="V12" s="696" t="s">
        <v>14</v>
      </c>
      <c r="W12" s="697">
        <f t="shared" si="2"/>
        <v>100</v>
      </c>
      <c r="X12" s="698"/>
      <c r="Y12" s="3717"/>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13"/>
      <c r="Q13" s="1335">
        <f t="shared" si="6"/>
        <v>111</v>
      </c>
      <c r="R13" s="696" t="s">
        <v>14</v>
      </c>
      <c r="S13" s="697">
        <f t="shared" si="0"/>
        <v>100</v>
      </c>
      <c r="T13" s="696" t="s">
        <v>14</v>
      </c>
      <c r="U13" s="697">
        <f t="shared" si="1"/>
        <v>100</v>
      </c>
      <c r="V13" s="696" t="s">
        <v>14</v>
      </c>
      <c r="W13" s="697">
        <f t="shared" si="2"/>
        <v>100</v>
      </c>
      <c r="X13" s="698"/>
      <c r="Y13" s="3717"/>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13"/>
      <c r="Q14" s="1335">
        <f t="shared" si="6"/>
        <v>111</v>
      </c>
      <c r="R14" s="696" t="s">
        <v>14</v>
      </c>
      <c r="S14" s="697">
        <f t="shared" si="0"/>
        <v>100</v>
      </c>
      <c r="T14" s="696" t="s">
        <v>14</v>
      </c>
      <c r="U14" s="697">
        <f t="shared" si="1"/>
        <v>100</v>
      </c>
      <c r="V14" s="696" t="s">
        <v>14</v>
      </c>
      <c r="W14" s="697">
        <f t="shared" si="2"/>
        <v>100</v>
      </c>
      <c r="X14" s="698"/>
      <c r="Y14" s="3717"/>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15" t="s">
        <v>1691</v>
      </c>
      <c r="Q15" s="1344" t="str">
        <f t="shared" si="6"/>
        <v>产业集聚程度</v>
      </c>
      <c r="R15" s="700" t="s">
        <v>14</v>
      </c>
      <c r="S15" s="701">
        <f t="shared" si="0"/>
        <v>100</v>
      </c>
      <c r="T15" s="700" t="s">
        <v>14</v>
      </c>
      <c r="U15" s="701">
        <f t="shared" si="1"/>
        <v>100</v>
      </c>
      <c r="V15" s="700" t="s">
        <v>14</v>
      </c>
      <c r="W15" s="701">
        <f t="shared" si="2"/>
        <v>100</v>
      </c>
      <c r="X15" s="1347"/>
      <c r="Y15" s="3815"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16"/>
      <c r="Q16" s="1344"/>
      <c r="R16" s="700"/>
      <c r="S16" s="701"/>
      <c r="T16" s="700"/>
      <c r="U16" s="701"/>
      <c r="V16" s="700"/>
      <c r="W16" s="701"/>
      <c r="X16" s="1347"/>
      <c r="Y16" s="3816"/>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16"/>
      <c r="Q17" s="1344" t="str">
        <f>B17</f>
        <v>交通便捷度</v>
      </c>
      <c r="R17" s="700" t="s">
        <v>14</v>
      </c>
      <c r="S17" s="701">
        <f>F17</f>
        <v>100</v>
      </c>
      <c r="T17" s="700" t="s">
        <v>14</v>
      </c>
      <c r="U17" s="701">
        <f>H17</f>
        <v>100</v>
      </c>
      <c r="V17" s="700" t="s">
        <v>14</v>
      </c>
      <c r="W17" s="701">
        <f>J17</f>
        <v>100</v>
      </c>
      <c r="X17" s="1347"/>
      <c r="Y17" s="3816"/>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16"/>
      <c r="Q18" s="1344"/>
      <c r="R18" s="700"/>
      <c r="S18" s="701"/>
      <c r="T18" s="700"/>
      <c r="U18" s="701"/>
      <c r="V18" s="700"/>
      <c r="W18" s="701"/>
      <c r="X18" s="1347"/>
      <c r="Y18" s="3816"/>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16"/>
      <c r="Q19" s="1344" t="str">
        <f t="shared" ref="Q19:Q33" si="8">B19</f>
        <v>区域土地利用方向</v>
      </c>
      <c r="R19" s="700" t="s">
        <v>14</v>
      </c>
      <c r="S19" s="701">
        <f>F19</f>
        <v>100</v>
      </c>
      <c r="T19" s="700" t="s">
        <v>14</v>
      </c>
      <c r="U19" s="701">
        <f>H19</f>
        <v>100</v>
      </c>
      <c r="V19" s="700" t="s">
        <v>14</v>
      </c>
      <c r="W19" s="701">
        <f>J19</f>
        <v>100</v>
      </c>
      <c r="X19" s="1347"/>
      <c r="Y19" s="3816"/>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16"/>
      <c r="Q20" s="1344"/>
      <c r="R20" s="700"/>
      <c r="S20" s="701"/>
      <c r="T20" s="700"/>
      <c r="U20" s="701"/>
      <c r="V20" s="700"/>
      <c r="W20" s="701"/>
      <c r="X20" s="1347"/>
      <c r="Y20" s="3816"/>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16"/>
      <c r="Q21" s="1344" t="str">
        <f t="shared" si="8"/>
        <v>环境状况</v>
      </c>
      <c r="R21" s="700" t="s">
        <v>14</v>
      </c>
      <c r="S21" s="701">
        <f>F21</f>
        <v>100</v>
      </c>
      <c r="T21" s="700" t="s">
        <v>14</v>
      </c>
      <c r="U21" s="701">
        <f>H21</f>
        <v>100</v>
      </c>
      <c r="V21" s="700" t="s">
        <v>14</v>
      </c>
      <c r="W21" s="701">
        <f>J21</f>
        <v>100</v>
      </c>
      <c r="X21" s="1347"/>
      <c r="Y21" s="3816"/>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16"/>
      <c r="Q22" s="1344"/>
      <c r="R22" s="700"/>
      <c r="S22" s="701"/>
      <c r="T22" s="700"/>
      <c r="U22" s="701"/>
      <c r="V22" s="700"/>
      <c r="W22" s="701"/>
      <c r="X22" s="1347"/>
      <c r="Y22" s="3816"/>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16"/>
      <c r="Q23" s="1335" t="str">
        <f t="shared" si="8"/>
        <v>公共配套设施</v>
      </c>
      <c r="R23" s="696" t="s">
        <v>14</v>
      </c>
      <c r="S23" s="697">
        <f>F23</f>
        <v>100</v>
      </c>
      <c r="T23" s="696" t="s">
        <v>14</v>
      </c>
      <c r="U23" s="697">
        <f>H23</f>
        <v>100</v>
      </c>
      <c r="V23" s="696" t="s">
        <v>14</v>
      </c>
      <c r="W23" s="697">
        <f>J23</f>
        <v>100</v>
      </c>
      <c r="X23" s="698"/>
      <c r="Y23" s="3816"/>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16"/>
      <c r="Q24" s="1335"/>
      <c r="R24" s="696"/>
      <c r="S24" s="697"/>
      <c r="T24" s="696"/>
      <c r="U24" s="697"/>
      <c r="V24" s="696"/>
      <c r="W24" s="697"/>
      <c r="X24" s="698"/>
      <c r="Y24" s="3816"/>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16"/>
      <c r="Q25" s="1335" t="str">
        <f t="shared" ref="Q25" si="9">B25</f>
        <v>基础设施水平</v>
      </c>
      <c r="R25" s="696" t="s">
        <v>14</v>
      </c>
      <c r="S25" s="697">
        <f>F25</f>
        <v>100</v>
      </c>
      <c r="T25" s="696" t="s">
        <v>14</v>
      </c>
      <c r="U25" s="697">
        <f>H25</f>
        <v>100</v>
      </c>
      <c r="V25" s="696" t="s">
        <v>14</v>
      </c>
      <c r="W25" s="697">
        <f>J25</f>
        <v>100</v>
      </c>
      <c r="X25" s="698"/>
      <c r="Y25" s="3816"/>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16"/>
      <c r="Q26" s="1335"/>
      <c r="R26" s="696"/>
      <c r="S26" s="697"/>
      <c r="T26" s="696"/>
      <c r="U26" s="697"/>
      <c r="V26" s="696"/>
      <c r="W26" s="697"/>
      <c r="X26" s="698"/>
      <c r="Y26" s="3816"/>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16"/>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16"/>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16"/>
      <c r="Q28" s="1344" t="str">
        <f t="shared" si="8"/>
        <v>毗邻道路的类型与等级</v>
      </c>
      <c r="R28" s="700" t="s">
        <v>14</v>
      </c>
      <c r="S28" s="701">
        <f t="shared" si="10"/>
        <v>100</v>
      </c>
      <c r="T28" s="700" t="s">
        <v>14</v>
      </c>
      <c r="U28" s="701">
        <f t="shared" si="11"/>
        <v>100</v>
      </c>
      <c r="V28" s="700" t="s">
        <v>14</v>
      </c>
      <c r="W28" s="701">
        <f t="shared" si="12"/>
        <v>100</v>
      </c>
      <c r="X28" s="1347"/>
      <c r="Y28" s="3816"/>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16"/>
      <c r="Q29" s="1344"/>
      <c r="R29" s="700"/>
      <c r="S29" s="701"/>
      <c r="T29" s="700"/>
      <c r="U29" s="701"/>
      <c r="V29" s="700"/>
      <c r="W29" s="701"/>
      <c r="X29" s="1347"/>
      <c r="Y29" s="3816"/>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16"/>
      <c r="Q30" s="1344" t="str">
        <f t="shared" si="8"/>
        <v>土地级别</v>
      </c>
      <c r="R30" s="700" t="s">
        <v>14</v>
      </c>
      <c r="S30" s="701">
        <f t="shared" si="10"/>
        <v>100</v>
      </c>
      <c r="T30" s="700" t="s">
        <v>14</v>
      </c>
      <c r="U30" s="701">
        <f t="shared" si="11"/>
        <v>100</v>
      </c>
      <c r="V30" s="700" t="s">
        <v>14</v>
      </c>
      <c r="W30" s="701">
        <f t="shared" si="12"/>
        <v>100</v>
      </c>
      <c r="X30" s="1347"/>
      <c r="Y30" s="3816"/>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16"/>
      <c r="Q31" s="1344">
        <f t="shared" si="8"/>
        <v>111</v>
      </c>
      <c r="R31" s="700" t="s">
        <v>14</v>
      </c>
      <c r="S31" s="701">
        <f t="shared" si="10"/>
        <v>100</v>
      </c>
      <c r="T31" s="700" t="s">
        <v>14</v>
      </c>
      <c r="U31" s="701">
        <f t="shared" si="11"/>
        <v>100</v>
      </c>
      <c r="V31" s="700" t="s">
        <v>14</v>
      </c>
      <c r="W31" s="701">
        <f t="shared" si="12"/>
        <v>100</v>
      </c>
      <c r="X31" s="1347"/>
      <c r="Y31" s="3816"/>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60" t="s">
        <v>1696</v>
      </c>
      <c r="Q32" s="1344">
        <f t="shared" si="8"/>
        <v>111</v>
      </c>
      <c r="R32" s="700" t="s">
        <v>14</v>
      </c>
      <c r="S32" s="701">
        <f t="shared" si="10"/>
        <v>100</v>
      </c>
      <c r="T32" s="700" t="s">
        <v>14</v>
      </c>
      <c r="U32" s="701">
        <f t="shared" si="11"/>
        <v>100</v>
      </c>
      <c r="V32" s="700" t="s">
        <v>14</v>
      </c>
      <c r="W32" s="701">
        <f t="shared" si="12"/>
        <v>100</v>
      </c>
      <c r="X32" s="1347"/>
      <c r="Y32" s="3820"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20"/>
      <c r="Q33" s="1344">
        <f t="shared" si="8"/>
        <v>111</v>
      </c>
      <c r="R33" s="703" t="s">
        <v>14</v>
      </c>
      <c r="S33" s="704">
        <f t="shared" si="10"/>
        <v>100</v>
      </c>
      <c r="T33" s="703" t="s">
        <v>14</v>
      </c>
      <c r="U33" s="704">
        <f t="shared" si="11"/>
        <v>100</v>
      </c>
      <c r="V33" s="703" t="s">
        <v>14</v>
      </c>
      <c r="W33" s="704">
        <f t="shared" si="12"/>
        <v>100</v>
      </c>
      <c r="X33" s="705"/>
      <c r="Y33" s="3820"/>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20"/>
      <c r="Q34" s="1344" t="str">
        <f>B34</f>
        <v>宗地面积</v>
      </c>
      <c r="R34" s="700" t="s">
        <v>14</v>
      </c>
      <c r="S34" s="701" t="e">
        <f t="shared" si="10"/>
        <v>#N/A</v>
      </c>
      <c r="T34" s="700" t="s">
        <v>14</v>
      </c>
      <c r="U34" s="701" t="e">
        <f t="shared" si="11"/>
        <v>#N/A</v>
      </c>
      <c r="V34" s="700" t="s">
        <v>14</v>
      </c>
      <c r="W34" s="701" t="e">
        <f t="shared" si="12"/>
        <v>#N/A</v>
      </c>
      <c r="X34" s="1347"/>
      <c r="Y34" s="3820"/>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20"/>
      <c r="Q35" s="1344" t="str">
        <f t="shared" ref="Q35:Q40" si="14">B35</f>
        <v>宗地形状</v>
      </c>
      <c r="R35" s="700" t="s">
        <v>14</v>
      </c>
      <c r="S35" s="701">
        <f t="shared" si="10"/>
        <v>100</v>
      </c>
      <c r="T35" s="700" t="s">
        <v>14</v>
      </c>
      <c r="U35" s="701">
        <f t="shared" si="11"/>
        <v>100</v>
      </c>
      <c r="V35" s="700" t="s">
        <v>14</v>
      </c>
      <c r="W35" s="701">
        <f t="shared" si="12"/>
        <v>100</v>
      </c>
      <c r="X35" s="1347"/>
      <c r="Y35" s="3820"/>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20"/>
      <c r="Q36" s="1344" t="str">
        <f t="shared" si="14"/>
        <v>宗地开发程度</v>
      </c>
      <c r="R36" s="696" t="s">
        <v>14</v>
      </c>
      <c r="S36" s="697">
        <f t="shared" si="10"/>
        <v>100</v>
      </c>
      <c r="T36" s="696" t="s">
        <v>14</v>
      </c>
      <c r="U36" s="697">
        <f t="shared" si="11"/>
        <v>100</v>
      </c>
      <c r="V36" s="696" t="s">
        <v>14</v>
      </c>
      <c r="W36" s="697">
        <f t="shared" si="12"/>
        <v>100</v>
      </c>
      <c r="X36" s="698"/>
      <c r="Y36" s="3820"/>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20" t="s">
        <v>1696</v>
      </c>
      <c r="Q37" s="1344" t="str">
        <f t="shared" si="14"/>
        <v>工程地质条件</v>
      </c>
      <c r="R37" s="700" t="s">
        <v>14</v>
      </c>
      <c r="S37" s="701">
        <f t="shared" si="10"/>
        <v>100</v>
      </c>
      <c r="T37" s="700" t="s">
        <v>14</v>
      </c>
      <c r="U37" s="701">
        <f t="shared" si="11"/>
        <v>100</v>
      </c>
      <c r="V37" s="700" t="s">
        <v>14</v>
      </c>
      <c r="W37" s="701">
        <f t="shared" si="12"/>
        <v>100</v>
      </c>
      <c r="X37" s="1347"/>
      <c r="Y37" s="3820"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20"/>
      <c r="Q38" s="1344">
        <f t="shared" si="14"/>
        <v>111</v>
      </c>
      <c r="R38" s="700" t="s">
        <v>14</v>
      </c>
      <c r="S38" s="701">
        <f t="shared" si="10"/>
        <v>100</v>
      </c>
      <c r="T38" s="700" t="s">
        <v>14</v>
      </c>
      <c r="U38" s="701">
        <f t="shared" si="11"/>
        <v>100</v>
      </c>
      <c r="V38" s="700" t="s">
        <v>14</v>
      </c>
      <c r="W38" s="701">
        <f t="shared" si="12"/>
        <v>100</v>
      </c>
      <c r="X38" s="1347"/>
      <c r="Y38" s="3820"/>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20"/>
      <c r="Q39" s="1344">
        <f t="shared" si="14"/>
        <v>111</v>
      </c>
      <c r="R39" s="700" t="s">
        <v>14</v>
      </c>
      <c r="S39" s="701">
        <f t="shared" si="10"/>
        <v>100</v>
      </c>
      <c r="T39" s="700" t="s">
        <v>14</v>
      </c>
      <c r="U39" s="701">
        <f t="shared" si="11"/>
        <v>100</v>
      </c>
      <c r="V39" s="700" t="s">
        <v>14</v>
      </c>
      <c r="W39" s="701">
        <f t="shared" si="12"/>
        <v>100</v>
      </c>
      <c r="X39" s="1347"/>
      <c r="Y39" s="3820"/>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20"/>
      <c r="Q40" s="1344">
        <f t="shared" si="14"/>
        <v>111</v>
      </c>
      <c r="R40" s="703" t="s">
        <v>14</v>
      </c>
      <c r="S40" s="704">
        <f t="shared" si="10"/>
        <v>100</v>
      </c>
      <c r="T40" s="703" t="s">
        <v>14</v>
      </c>
      <c r="U40" s="704">
        <f t="shared" si="11"/>
        <v>100</v>
      </c>
      <c r="V40" s="703" t="s">
        <v>14</v>
      </c>
      <c r="W40" s="704">
        <f t="shared" si="12"/>
        <v>100</v>
      </c>
      <c r="X40" s="705"/>
      <c r="Y40" s="3820"/>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13" t="str">
        <f>A41</f>
        <v>成交单价</v>
      </c>
      <c r="Q41" s="3813"/>
      <c r="R41" s="3844">
        <f>E41</f>
        <v>0</v>
      </c>
      <c r="S41" s="3844"/>
      <c r="T41" s="3844">
        <f>G41</f>
        <v>0</v>
      </c>
      <c r="U41" s="3844"/>
      <c r="V41" s="3844">
        <f>I41</f>
        <v>0</v>
      </c>
      <c r="W41" s="3844"/>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13" t="str">
        <f>A42</f>
        <v>比较价值（元/平方米）</v>
      </c>
      <c r="Q42" s="3813"/>
      <c r="R42" s="3857" t="e">
        <f>ROUND(PRODUCT(R41,AA7:AA40),0)</f>
        <v>#DIV/0!</v>
      </c>
      <c r="S42" s="3857"/>
      <c r="T42" s="3857" t="e">
        <f>ROUND(PRODUCT(T41,AB7:AB40),0)</f>
        <v>#DIV/0!</v>
      </c>
      <c r="U42" s="3857"/>
      <c r="V42" s="3857" t="e">
        <f>ROUND(PRODUCT(V41,AC7:AC40),0)</f>
        <v>#DIV/0!</v>
      </c>
      <c r="W42" s="3857"/>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10" t="str">
        <f>A43</f>
        <v>估价对象XX用房的比较价值（楼面单价，元/平方米）</v>
      </c>
      <c r="Q43" s="3811"/>
      <c r="R43" s="3858" t="e">
        <f>ROUND(IF(D42="简单平均",AVERAGE(R42:W42),R42*F42+T42*H42+V42*J42),0)</f>
        <v>#DIV/0!</v>
      </c>
      <c r="S43" s="3858"/>
      <c r="T43" s="3858"/>
      <c r="U43" s="3858"/>
      <c r="V43" s="3858"/>
      <c r="W43" s="3858"/>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28" t="s">
        <v>1887</v>
      </c>
      <c r="H50" s="3859"/>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1365.98</v>
      </c>
      <c r="F51" s="635" t="e">
        <f t="shared" ref="F51:F60" si="15">ROUND(B51*E51/10000,0)</f>
        <v>#DIV/0!</v>
      </c>
      <c r="G51" s="3824"/>
      <c r="H51" s="3813"/>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0</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2024-1-1</v>
      </c>
      <c r="D63" s="687">
        <f>EDATE(C63,-3)</f>
        <v>45200</v>
      </c>
      <c r="E63" s="687">
        <f>EDATE(D63,-3)</f>
        <v>45108</v>
      </c>
      <c r="F63" s="687">
        <f t="shared" ref="F63:O63" si="18">EDATE(E63,-3)</f>
        <v>45017</v>
      </c>
      <c r="G63" s="687">
        <f t="shared" si="18"/>
        <v>44927</v>
      </c>
      <c r="H63" s="687">
        <f t="shared" si="18"/>
        <v>44835</v>
      </c>
      <c r="I63" s="687">
        <f t="shared" si="18"/>
        <v>44743</v>
      </c>
      <c r="J63" s="687">
        <f t="shared" si="18"/>
        <v>44652</v>
      </c>
      <c r="K63" s="687">
        <f t="shared" si="18"/>
        <v>44562</v>
      </c>
      <c r="L63" s="687">
        <f t="shared" si="18"/>
        <v>44470</v>
      </c>
      <c r="M63" s="687">
        <f t="shared" si="18"/>
        <v>44378</v>
      </c>
      <c r="N63" s="687">
        <f t="shared" si="18"/>
        <v>44287</v>
      </c>
      <c r="O63" s="687">
        <f t="shared" si="18"/>
        <v>44197</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2"/>
      <c r="C2" s="3632"/>
      <c r="D2" s="3632"/>
      <c r="E2" s="3632"/>
    </row>
    <row r="3" spans="1:5" ht="18">
      <c r="A3" s="3633" t="str">
        <f>IF(项目基本情况!B9="房地产市场价值","估价结果一览表（市场价值不需“结果表-1”）","估价结果一览表")</f>
        <v>估价结果一览表</v>
      </c>
      <c r="B3" s="3633"/>
      <c r="C3" s="3633"/>
      <c r="D3" s="3633"/>
      <c r="E3" s="3633"/>
    </row>
    <row r="4" spans="1:5" ht="19.5" thickBot="1">
      <c r="A4" s="1485"/>
      <c r="B4" s="3631" t="s">
        <v>917</v>
      </c>
      <c r="C4" s="3631"/>
      <c r="D4" s="3631"/>
      <c r="E4" s="1485"/>
    </row>
    <row r="5" spans="1:5" ht="16.5" thickTop="1">
      <c r="A5" s="1483"/>
      <c r="B5" s="3629" t="s">
        <v>909</v>
      </c>
      <c r="C5" s="1486" t="s">
        <v>910</v>
      </c>
      <c r="D5" s="842">
        <f ca="1">结果表!H101</f>
        <v>991</v>
      </c>
      <c r="E5" s="1483"/>
    </row>
    <row r="6" spans="1:5" ht="15.75">
      <c r="A6" s="1483"/>
      <c r="B6" s="3629"/>
      <c r="C6" s="1486" t="s">
        <v>911</v>
      </c>
      <c r="D6" s="842" t="str">
        <f ca="1">NUMBERSTRING(INT(D5*10000),2)&amp;"元整"</f>
        <v>玖佰玖拾壹万元整</v>
      </c>
      <c r="E6" s="1483"/>
    </row>
    <row r="7" spans="1:5" ht="15.75">
      <c r="A7" s="1483"/>
      <c r="B7" s="3634"/>
      <c r="C7" s="1487" t="s">
        <v>912</v>
      </c>
      <c r="D7" s="843">
        <f ca="1">结果表!H102</f>
        <v>40531</v>
      </c>
      <c r="E7" s="1483"/>
    </row>
    <row r="8" spans="1:5" ht="15.75">
      <c r="A8" s="1483"/>
      <c r="B8" s="3635" t="str">
        <f>结果表!E103</f>
        <v>2.估价师知悉的法定优先受偿款</v>
      </c>
      <c r="C8" s="1488" t="s">
        <v>913</v>
      </c>
      <c r="D8" s="843">
        <f>结果表!H103</f>
        <v>0</v>
      </c>
      <c r="E8" s="1483"/>
    </row>
    <row r="9" spans="1:5" ht="15.75">
      <c r="A9" s="1483"/>
      <c r="B9" s="3637"/>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28" t="str">
        <f>结果表!E107</f>
        <v>3.房地产抵押价值</v>
      </c>
      <c r="C13" s="1491" t="s">
        <v>910</v>
      </c>
      <c r="D13" s="845">
        <f ca="1">结果表!H107</f>
        <v>991</v>
      </c>
      <c r="E13" s="1483"/>
    </row>
    <row r="14" spans="1:5" ht="15.75">
      <c r="A14" s="1483"/>
      <c r="B14" s="3629"/>
      <c r="C14" s="1486" t="s">
        <v>911</v>
      </c>
      <c r="D14" s="842" t="str">
        <f ca="1">NUMBERSTRING(INT(D13*10000),2)&amp;"元整"</f>
        <v>玖佰玖拾壹万元整</v>
      </c>
      <c r="E14" s="1483"/>
    </row>
    <row r="15" spans="1:5" ht="15">
      <c r="A15" s="1483"/>
      <c r="B15" s="3634"/>
      <c r="C15" s="1487" t="s">
        <v>921</v>
      </c>
      <c r="D15" s="851">
        <f ca="1">结果表!H108</f>
        <v>40531</v>
      </c>
      <c r="E15" s="1483"/>
    </row>
    <row r="16" spans="1:5" ht="15">
      <c r="A16" s="1483"/>
      <c r="B16" s="3635" t="str">
        <f>结果表!E109</f>
        <v>——</v>
      </c>
      <c r="C16" s="1491" t="s">
        <v>922</v>
      </c>
      <c r="D16" s="1492" t="str">
        <f>结果表!H109</f>
        <v>——</v>
      </c>
      <c r="E16" s="1483"/>
    </row>
    <row r="17" spans="1:5" ht="15.75">
      <c r="A17" s="1483"/>
      <c r="B17" s="3636"/>
      <c r="C17" s="1486" t="s">
        <v>923</v>
      </c>
      <c r="D17" s="842" t="e">
        <f>NUMBERSTRING(INT(D16*10000),2)&amp;"元整"</f>
        <v>#VALUE!</v>
      </c>
      <c r="E17" s="1483"/>
    </row>
    <row r="18" spans="1:5" ht="15">
      <c r="A18" s="1483"/>
      <c r="B18" s="3637"/>
      <c r="C18" s="1487" t="s">
        <v>912</v>
      </c>
      <c r="D18" s="851" t="str">
        <f>结果表!H110</f>
        <v>——</v>
      </c>
      <c r="E18" s="1483"/>
    </row>
    <row r="19" spans="1:5" ht="15.75">
      <c r="A19" s="1483"/>
      <c r="B19" s="3628" t="str">
        <f>结果表!E111</f>
        <v>——</v>
      </c>
      <c r="C19" s="1491" t="s">
        <v>910</v>
      </c>
      <c r="D19" s="843" t="str">
        <f>结果表!H111</f>
        <v>——</v>
      </c>
      <c r="E19" s="1483"/>
    </row>
    <row r="20" spans="1:5" ht="15.75">
      <c r="A20" s="1483"/>
      <c r="B20" s="3629"/>
      <c r="C20" s="1486" t="s">
        <v>923</v>
      </c>
      <c r="D20" s="842" t="e">
        <f>NUMBERSTRING(INT(D19*10000),2)&amp;"元整"</f>
        <v>#VALUE!</v>
      </c>
      <c r="E20" s="1483"/>
    </row>
    <row r="21" spans="1:5" ht="15.75" thickBot="1">
      <c r="A21" s="1483"/>
      <c r="B21" s="3630"/>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48"/>
      <c r="B4" s="3949"/>
      <c r="C4" s="3949"/>
      <c r="D4" s="3950"/>
      <c r="E4" s="3950"/>
      <c r="F4" s="3950"/>
      <c r="G4" s="3950"/>
      <c r="H4" s="3950"/>
      <c r="I4" s="3950"/>
      <c r="J4" s="3951"/>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45" t="s">
        <v>1960</v>
      </c>
      <c r="X8" s="3946"/>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47"/>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47"/>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52" t="s">
        <v>3255</v>
      </c>
      <c r="B20" s="167" t="s">
        <v>1994</v>
      </c>
      <c r="C20" s="3309" t="e">
        <f>ROUND(IF(F21="与级别开发程度一致",0,(G21-E21)/C21),0)</f>
        <v>#DIV/0!</v>
      </c>
      <c r="D20" s="3325" t="s">
        <v>1998</v>
      </c>
      <c r="E20" s="3326"/>
      <c r="F20" s="3958" t="s">
        <v>1995</v>
      </c>
      <c r="G20" s="3959"/>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53"/>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45320</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12</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56"/>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57"/>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57"/>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54" t="s">
        <v>3295</v>
      </c>
      <c r="B103" s="3954"/>
      <c r="C103" s="3954"/>
      <c r="D103" s="3954"/>
      <c r="E103" s="3954"/>
      <c r="F103" s="3954"/>
      <c r="G103" s="3954"/>
      <c r="H103" s="3954"/>
      <c r="I103" s="3954"/>
      <c r="J103" s="3954"/>
      <c r="K103" s="3374"/>
      <c r="L103" s="3374"/>
      <c r="M103" s="3374"/>
      <c r="N103" s="3374"/>
    </row>
    <row r="104" spans="1:14">
      <c r="A104" s="3955" t="s">
        <v>3296</v>
      </c>
      <c r="B104" s="3955" t="s">
        <v>3297</v>
      </c>
      <c r="C104" s="3375" t="s">
        <v>3298</v>
      </c>
      <c r="D104" s="3376"/>
      <c r="E104" s="3376"/>
      <c r="F104" s="3376"/>
      <c r="G104" s="3376"/>
      <c r="H104" s="3376"/>
      <c r="I104" s="3376"/>
      <c r="J104" s="3377"/>
      <c r="K104" s="3378"/>
      <c r="L104" s="3378"/>
      <c r="M104" s="3378"/>
      <c r="N104" s="3378"/>
    </row>
    <row r="105" spans="1:14">
      <c r="A105" s="3955"/>
      <c r="B105" s="3955"/>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41"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42"/>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42"/>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42"/>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42"/>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42"/>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43"/>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44" t="s">
        <v>3312</v>
      </c>
      <c r="B113" s="3944"/>
      <c r="C113" s="3944"/>
      <c r="D113" s="3944"/>
      <c r="E113" s="3944"/>
      <c r="F113" s="3944"/>
      <c r="G113" s="3944"/>
      <c r="H113" s="3944"/>
      <c r="I113" s="3944"/>
      <c r="J113" s="3944"/>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69" t="s">
        <v>2606</v>
      </c>
      <c r="B20" s="3964" t="s">
        <v>2627</v>
      </c>
      <c r="C20" s="3087" t="s">
        <v>2438</v>
      </c>
      <c r="D20" s="3088"/>
      <c r="E20" s="3089">
        <v>1</v>
      </c>
      <c r="F20" s="3090" t="s">
        <v>2439</v>
      </c>
      <c r="G20" s="3090"/>
    </row>
    <row r="21" spans="1:13" ht="19.5" customHeight="1">
      <c r="A21" s="3970"/>
      <c r="B21" s="3963"/>
      <c r="C21" s="3091" t="s">
        <v>2440</v>
      </c>
      <c r="D21" s="3092"/>
      <c r="E21" s="3093">
        <v>1</v>
      </c>
      <c r="F21" s="3090" t="s">
        <v>2441</v>
      </c>
      <c r="G21" s="3090"/>
    </row>
    <row r="22" spans="1:13" ht="19.5" customHeight="1">
      <c r="A22" s="3970"/>
      <c r="B22" s="3963"/>
      <c r="C22" s="3091" t="s">
        <v>2442</v>
      </c>
      <c r="D22" s="3092"/>
      <c r="E22" s="3093">
        <v>0.9</v>
      </c>
      <c r="F22" s="3090" t="s">
        <v>2443</v>
      </c>
      <c r="G22" s="3090"/>
    </row>
    <row r="23" spans="1:13" ht="19.5" customHeight="1">
      <c r="A23" s="3970"/>
      <c r="B23" s="3963"/>
      <c r="C23" s="3091" t="s">
        <v>2444</v>
      </c>
      <c r="D23" s="3092"/>
      <c r="E23" s="3093">
        <v>0.9</v>
      </c>
      <c r="F23" s="3090" t="s">
        <v>2445</v>
      </c>
      <c r="G23" s="3090"/>
    </row>
    <row r="24" spans="1:13" ht="19.5" customHeight="1">
      <c r="A24" s="3970"/>
      <c r="B24" s="3963"/>
      <c r="C24" s="3091" t="s">
        <v>2446</v>
      </c>
      <c r="D24" s="3092"/>
      <c r="E24" s="3093">
        <v>0.8</v>
      </c>
      <c r="F24" s="3090" t="s">
        <v>2447</v>
      </c>
      <c r="G24" s="3090"/>
    </row>
    <row r="25" spans="1:13" ht="19.5" customHeight="1" thickBot="1">
      <c r="A25" s="3971"/>
      <c r="B25" s="3965"/>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66" t="s">
        <v>2630</v>
      </c>
      <c r="B27" s="3964" t="s">
        <v>2611</v>
      </c>
      <c r="C27" s="3087" t="s">
        <v>2451</v>
      </c>
      <c r="D27" s="3088"/>
      <c r="E27" s="3089">
        <v>1</v>
      </c>
      <c r="F27" s="3090" t="s">
        <v>2452</v>
      </c>
      <c r="G27" s="3090"/>
    </row>
    <row r="28" spans="1:13" ht="19.5" customHeight="1">
      <c r="A28" s="3967"/>
      <c r="B28" s="3963"/>
      <c r="C28" s="3091" t="s">
        <v>2453</v>
      </c>
      <c r="D28" s="3092"/>
      <c r="E28" s="3093">
        <v>1</v>
      </c>
      <c r="F28" s="3090" t="s">
        <v>2454</v>
      </c>
      <c r="G28" s="3090"/>
    </row>
    <row r="29" spans="1:13" ht="19.5" customHeight="1">
      <c r="A29" s="3967"/>
      <c r="B29" s="3963"/>
      <c r="C29" s="3091" t="s">
        <v>2455</v>
      </c>
      <c r="D29" s="3092"/>
      <c r="E29" s="3093">
        <v>0.8</v>
      </c>
      <c r="F29" s="3090" t="s">
        <v>2456</v>
      </c>
      <c r="G29" s="3090"/>
    </row>
    <row r="30" spans="1:13" ht="19.5" customHeight="1">
      <c r="A30" s="3967"/>
      <c r="B30" s="3963"/>
      <c r="C30" s="3091" t="s">
        <v>2457</v>
      </c>
      <c r="D30" s="3092"/>
      <c r="E30" s="3093">
        <v>0.8</v>
      </c>
      <c r="F30" s="3090" t="s">
        <v>2458</v>
      </c>
      <c r="G30" s="3090"/>
    </row>
    <row r="31" spans="1:13" ht="19.5" customHeight="1">
      <c r="A31" s="3967"/>
      <c r="B31" s="3963"/>
      <c r="C31" s="3091" t="s">
        <v>2459</v>
      </c>
      <c r="D31" s="3092"/>
      <c r="E31" s="3093">
        <v>0.8</v>
      </c>
      <c r="F31" s="3090" t="s">
        <v>2460</v>
      </c>
      <c r="G31" s="3090"/>
    </row>
    <row r="32" spans="1:13" ht="19.5" customHeight="1">
      <c r="A32" s="3967"/>
      <c r="B32" s="3963"/>
      <c r="C32" s="3091" t="s">
        <v>2461</v>
      </c>
      <c r="D32" s="3092"/>
      <c r="E32" s="3093">
        <v>0.7</v>
      </c>
      <c r="F32" s="3090" t="s">
        <v>2462</v>
      </c>
      <c r="G32" s="3090"/>
    </row>
    <row r="33" spans="1:7" ht="19.5" customHeight="1">
      <c r="A33" s="3967"/>
      <c r="B33" s="3963"/>
      <c r="C33" s="3091" t="s">
        <v>2463</v>
      </c>
      <c r="D33" s="3092"/>
      <c r="E33" s="3093">
        <v>0.8</v>
      </c>
      <c r="F33" s="3090" t="s">
        <v>2464</v>
      </c>
      <c r="G33" s="3090"/>
    </row>
    <row r="34" spans="1:7" ht="19.5" customHeight="1">
      <c r="A34" s="3967"/>
      <c r="B34" s="3963"/>
      <c r="C34" s="3091" t="s">
        <v>2465</v>
      </c>
      <c r="D34" s="3092"/>
      <c r="E34" s="3093">
        <v>0.6</v>
      </c>
      <c r="F34" s="3090" t="s">
        <v>2466</v>
      </c>
      <c r="G34" s="3090"/>
    </row>
    <row r="35" spans="1:7" ht="19.5" customHeight="1">
      <c r="A35" s="3967"/>
      <c r="B35" s="3963"/>
      <c r="C35" s="3091" t="s">
        <v>2467</v>
      </c>
      <c r="D35" s="3092"/>
      <c r="E35" s="3093">
        <v>0.2</v>
      </c>
      <c r="F35" s="3090" t="s">
        <v>2468</v>
      </c>
      <c r="G35" s="3090"/>
    </row>
    <row r="36" spans="1:7" ht="19.5" customHeight="1">
      <c r="A36" s="3967"/>
      <c r="B36" s="3963"/>
      <c r="C36" s="3091" t="s">
        <v>2469</v>
      </c>
      <c r="D36" s="3092"/>
      <c r="E36" s="3093">
        <v>0.2</v>
      </c>
      <c r="F36" s="3090" t="s">
        <v>2470</v>
      </c>
      <c r="G36" s="3090"/>
    </row>
    <row r="37" spans="1:7" ht="19.5" customHeight="1">
      <c r="A37" s="3967"/>
      <c r="B37" s="3961" t="s">
        <v>2631</v>
      </c>
      <c r="C37" s="3091" t="s">
        <v>2471</v>
      </c>
      <c r="D37" s="3092"/>
      <c r="E37" s="3093">
        <v>0.6</v>
      </c>
      <c r="F37" s="3090" t="s">
        <v>2472</v>
      </c>
      <c r="G37" s="3090"/>
    </row>
    <row r="38" spans="1:7" ht="19.5" customHeight="1">
      <c r="A38" s="3967"/>
      <c r="B38" s="3963"/>
      <c r="C38" s="3091" t="s">
        <v>2473</v>
      </c>
      <c r="D38" s="3092"/>
      <c r="E38" s="3093">
        <v>0.6</v>
      </c>
      <c r="F38" s="3090" t="s">
        <v>2474</v>
      </c>
      <c r="G38" s="3090"/>
    </row>
    <row r="39" spans="1:7" ht="19.5" customHeight="1" thickBot="1">
      <c r="A39" s="3968"/>
      <c r="B39" s="3965"/>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69" t="s">
        <v>2609</v>
      </c>
      <c r="B41" s="3964" t="s">
        <v>2633</v>
      </c>
      <c r="C41" s="3087" t="s">
        <v>2478</v>
      </c>
      <c r="D41" s="3088"/>
      <c r="E41" s="3089">
        <v>1</v>
      </c>
      <c r="F41" s="3090" t="s">
        <v>2479</v>
      </c>
      <c r="G41" s="3090"/>
    </row>
    <row r="42" spans="1:7" ht="19.5" customHeight="1">
      <c r="A42" s="3970"/>
      <c r="B42" s="3963"/>
      <c r="C42" s="3091" t="s">
        <v>2480</v>
      </c>
      <c r="D42" s="3092"/>
      <c r="E42" s="3093">
        <v>1</v>
      </c>
      <c r="F42" s="3090" t="s">
        <v>2481</v>
      </c>
      <c r="G42" s="3090"/>
    </row>
    <row r="43" spans="1:7" ht="19.5" customHeight="1">
      <c r="A43" s="3970"/>
      <c r="B43" s="3962"/>
      <c r="C43" s="3091" t="s">
        <v>2482</v>
      </c>
      <c r="D43" s="3092"/>
      <c r="E43" s="3093">
        <v>1.5</v>
      </c>
      <c r="F43" s="3090" t="s">
        <v>2483</v>
      </c>
      <c r="G43" s="3090"/>
    </row>
    <row r="44" spans="1:7" ht="19.5" customHeight="1">
      <c r="A44" s="3970"/>
      <c r="B44" s="3102" t="s">
        <v>2634</v>
      </c>
      <c r="C44" s="3091" t="s">
        <v>2635</v>
      </c>
      <c r="D44" s="3092"/>
      <c r="E44" s="3093">
        <v>2</v>
      </c>
      <c r="F44" s="3090" t="s">
        <v>2484</v>
      </c>
      <c r="G44" s="3090"/>
    </row>
    <row r="45" spans="1:7" ht="19.5" customHeight="1">
      <c r="A45" s="3970"/>
      <c r="B45" s="3961" t="s">
        <v>2636</v>
      </c>
      <c r="C45" s="3091" t="s">
        <v>2485</v>
      </c>
      <c r="D45" s="3092"/>
      <c r="E45" s="3093">
        <v>1</v>
      </c>
      <c r="F45" s="3090" t="s">
        <v>2486</v>
      </c>
      <c r="G45" s="3090"/>
    </row>
    <row r="46" spans="1:7" ht="19.5" customHeight="1">
      <c r="A46" s="3970"/>
      <c r="B46" s="3963"/>
      <c r="C46" s="3091" t="s">
        <v>2487</v>
      </c>
      <c r="D46" s="3092"/>
      <c r="E46" s="3093">
        <v>1</v>
      </c>
      <c r="F46" s="3090" t="s">
        <v>2488</v>
      </c>
      <c r="G46" s="3090"/>
    </row>
    <row r="47" spans="1:7" ht="19.5" customHeight="1">
      <c r="A47" s="3970"/>
      <c r="B47" s="3963"/>
      <c r="C47" s="3091" t="s">
        <v>2489</v>
      </c>
      <c r="D47" s="3092"/>
      <c r="E47" s="3093">
        <v>1</v>
      </c>
      <c r="F47" s="3090" t="s">
        <v>2490</v>
      </c>
      <c r="G47" s="3090"/>
    </row>
    <row r="48" spans="1:7" ht="19.5" customHeight="1">
      <c r="A48" s="3970"/>
      <c r="B48" s="3963"/>
      <c r="C48" s="3091" t="s">
        <v>2491</v>
      </c>
      <c r="D48" s="3092"/>
      <c r="E48" s="3093">
        <v>1</v>
      </c>
      <c r="F48" s="3090" t="s">
        <v>2492</v>
      </c>
      <c r="G48" s="3090"/>
    </row>
    <row r="49" spans="1:7" ht="19.5" customHeight="1">
      <c r="A49" s="3970"/>
      <c r="B49" s="3963"/>
      <c r="C49" s="3091" t="s">
        <v>2493</v>
      </c>
      <c r="D49" s="3092"/>
      <c r="E49" s="3093">
        <v>1</v>
      </c>
      <c r="F49" s="3090" t="s">
        <v>2494</v>
      </c>
      <c r="G49" s="3090"/>
    </row>
    <row r="50" spans="1:7" ht="19.5" customHeight="1">
      <c r="A50" s="3970"/>
      <c r="B50" s="3963"/>
      <c r="C50" s="3091" t="s">
        <v>2495</v>
      </c>
      <c r="D50" s="3092"/>
      <c r="E50" s="3093">
        <v>1</v>
      </c>
      <c r="F50" s="3090" t="s">
        <v>2496</v>
      </c>
      <c r="G50" s="3090"/>
    </row>
    <row r="51" spans="1:7" ht="19.5" customHeight="1" thickBot="1">
      <c r="A51" s="3971"/>
      <c r="B51" s="3965"/>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61" t="s">
        <v>2650</v>
      </c>
      <c r="C73" s="3076" t="s">
        <v>2651</v>
      </c>
      <c r="D73" s="3076" t="s">
        <v>2652</v>
      </c>
      <c r="E73" s="3102">
        <v>0.2</v>
      </c>
      <c r="F73" s="3102">
        <v>25</v>
      </c>
    </row>
    <row r="74" spans="1:7" ht="24">
      <c r="A74" s="3102">
        <v>2</v>
      </c>
      <c r="B74" s="3963"/>
      <c r="C74" s="3076" t="s">
        <v>2653</v>
      </c>
      <c r="D74" s="3076" t="s">
        <v>2654</v>
      </c>
      <c r="E74" s="3102">
        <v>0.2</v>
      </c>
      <c r="F74" s="3102">
        <v>25</v>
      </c>
    </row>
    <row r="75" spans="1:7" ht="24">
      <c r="A75" s="3102">
        <v>3</v>
      </c>
      <c r="B75" s="3963"/>
      <c r="C75" s="3076" t="s">
        <v>2655</v>
      </c>
      <c r="D75" s="3076" t="s">
        <v>2656</v>
      </c>
      <c r="E75" s="3102">
        <v>0.2</v>
      </c>
      <c r="F75" s="3102">
        <v>25</v>
      </c>
    </row>
    <row r="76" spans="1:7" ht="13.5">
      <c r="A76" s="3102">
        <v>4</v>
      </c>
      <c r="B76" s="3963"/>
      <c r="C76" s="3076" t="s">
        <v>2657</v>
      </c>
      <c r="D76" s="3076" t="s">
        <v>2658</v>
      </c>
      <c r="E76" s="3102">
        <v>0.15</v>
      </c>
      <c r="F76" s="3102">
        <v>20</v>
      </c>
    </row>
    <row r="77" spans="1:7" ht="24">
      <c r="A77" s="3102">
        <v>5</v>
      </c>
      <c r="B77" s="3963"/>
      <c r="C77" s="3076" t="s">
        <v>2659</v>
      </c>
      <c r="D77" s="3076" t="s">
        <v>2660</v>
      </c>
      <c r="E77" s="3102">
        <v>0.15</v>
      </c>
      <c r="F77" s="3102">
        <v>20</v>
      </c>
    </row>
    <row r="78" spans="1:7" ht="24">
      <c r="A78" s="3102">
        <v>6</v>
      </c>
      <c r="B78" s="3963"/>
      <c r="C78" s="3076" t="s">
        <v>2661</v>
      </c>
      <c r="D78" s="3076" t="s">
        <v>2662</v>
      </c>
      <c r="E78" s="3102">
        <v>0.15</v>
      </c>
      <c r="F78" s="3102">
        <v>20</v>
      </c>
    </row>
    <row r="79" spans="1:7" ht="24">
      <c r="A79" s="3102">
        <v>7</v>
      </c>
      <c r="B79" s="3963"/>
      <c r="C79" s="3076" t="s">
        <v>2663</v>
      </c>
      <c r="D79" s="3076" t="s">
        <v>2664</v>
      </c>
      <c r="E79" s="3102">
        <v>0.15</v>
      </c>
      <c r="F79" s="3102">
        <v>20</v>
      </c>
    </row>
    <row r="80" spans="1:7" ht="24">
      <c r="A80" s="3102">
        <v>8</v>
      </c>
      <c r="B80" s="3963"/>
      <c r="C80" s="3076" t="s">
        <v>2665</v>
      </c>
      <c r="D80" s="3076" t="s">
        <v>2666</v>
      </c>
      <c r="E80" s="3102">
        <v>0.1</v>
      </c>
      <c r="F80" s="3102">
        <v>15</v>
      </c>
    </row>
    <row r="81" spans="1:6" ht="24">
      <c r="A81" s="3102">
        <v>9</v>
      </c>
      <c r="B81" s="3963"/>
      <c r="C81" s="3076" t="s">
        <v>2667</v>
      </c>
      <c r="D81" s="3076" t="s">
        <v>2668</v>
      </c>
      <c r="E81" s="3102">
        <v>0.1</v>
      </c>
      <c r="F81" s="3102">
        <v>15</v>
      </c>
    </row>
    <row r="82" spans="1:6" ht="24">
      <c r="A82" s="3102">
        <v>10</v>
      </c>
      <c r="B82" s="3963"/>
      <c r="C82" s="3076" t="s">
        <v>2669</v>
      </c>
      <c r="D82" s="3076" t="s">
        <v>2670</v>
      </c>
      <c r="E82" s="3102">
        <v>0.1</v>
      </c>
      <c r="F82" s="3102">
        <v>15</v>
      </c>
    </row>
    <row r="83" spans="1:6" ht="24">
      <c r="A83" s="3102">
        <v>11</v>
      </c>
      <c r="B83" s="3963"/>
      <c r="C83" s="3076" t="s">
        <v>2671</v>
      </c>
      <c r="D83" s="3076" t="s">
        <v>2672</v>
      </c>
      <c r="E83" s="3102">
        <v>0.1</v>
      </c>
      <c r="F83" s="3102">
        <v>15</v>
      </c>
    </row>
    <row r="84" spans="1:6" ht="24">
      <c r="A84" s="3102">
        <v>12</v>
      </c>
      <c r="B84" s="3963"/>
      <c r="C84" s="3076" t="s">
        <v>2673</v>
      </c>
      <c r="D84" s="3076" t="s">
        <v>2674</v>
      </c>
      <c r="E84" s="3102">
        <v>0.1</v>
      </c>
      <c r="F84" s="3102">
        <v>15</v>
      </c>
    </row>
    <row r="85" spans="1:6" ht="13.5">
      <c r="A85" s="3102">
        <v>13</v>
      </c>
      <c r="B85" s="3963"/>
      <c r="C85" s="3076" t="s">
        <v>2675</v>
      </c>
      <c r="D85" s="3076" t="s">
        <v>2676</v>
      </c>
      <c r="E85" s="3102">
        <v>0.1</v>
      </c>
      <c r="F85" s="3102">
        <v>15</v>
      </c>
    </row>
    <row r="86" spans="1:6" ht="13.5">
      <c r="A86" s="3102">
        <v>14</v>
      </c>
      <c r="B86" s="3963"/>
      <c r="C86" s="3076" t="s">
        <v>2677</v>
      </c>
      <c r="D86" s="3076" t="s">
        <v>2678</v>
      </c>
      <c r="E86" s="3102">
        <v>0.1</v>
      </c>
      <c r="F86" s="3102">
        <v>15</v>
      </c>
    </row>
    <row r="87" spans="1:6" ht="13.5">
      <c r="A87" s="3102">
        <v>15</v>
      </c>
      <c r="B87" s="3963"/>
      <c r="C87" s="3076" t="s">
        <v>2679</v>
      </c>
      <c r="D87" s="3076" t="s">
        <v>2680</v>
      </c>
      <c r="E87" s="3102">
        <v>0.1</v>
      </c>
      <c r="F87" s="3102">
        <v>15</v>
      </c>
    </row>
    <row r="88" spans="1:6" ht="24">
      <c r="A88" s="3102">
        <v>16</v>
      </c>
      <c r="B88" s="3963"/>
      <c r="C88" s="3076" t="s">
        <v>2681</v>
      </c>
      <c r="D88" s="3076" t="s">
        <v>2682</v>
      </c>
      <c r="E88" s="3102">
        <v>0.1</v>
      </c>
      <c r="F88" s="3102">
        <v>15</v>
      </c>
    </row>
    <row r="89" spans="1:6" ht="24">
      <c r="A89" s="3102">
        <v>17</v>
      </c>
      <c r="B89" s="3962"/>
      <c r="C89" s="3076" t="s">
        <v>2683</v>
      </c>
      <c r="D89" s="3076" t="s">
        <v>2684</v>
      </c>
      <c r="E89" s="3102">
        <v>0.1</v>
      </c>
      <c r="F89" s="3102">
        <v>15</v>
      </c>
    </row>
    <row r="90" spans="1:6" ht="13.5">
      <c r="A90" s="3102">
        <v>18</v>
      </c>
      <c r="B90" s="3961" t="s">
        <v>2685</v>
      </c>
      <c r="C90" s="3076" t="s">
        <v>2686</v>
      </c>
      <c r="D90" s="3076" t="s">
        <v>2687</v>
      </c>
      <c r="E90" s="3102">
        <v>0.2</v>
      </c>
      <c r="F90" s="3102">
        <v>25</v>
      </c>
    </row>
    <row r="91" spans="1:6" ht="24">
      <c r="A91" s="3102">
        <v>19</v>
      </c>
      <c r="B91" s="3963"/>
      <c r="C91" s="3076" t="s">
        <v>2688</v>
      </c>
      <c r="D91" s="3076" t="s">
        <v>2689</v>
      </c>
      <c r="E91" s="3102">
        <v>0.2</v>
      </c>
      <c r="F91" s="3102">
        <v>25</v>
      </c>
    </row>
    <row r="92" spans="1:6" ht="13.5">
      <c r="A92" s="3102">
        <v>20</v>
      </c>
      <c r="B92" s="3963"/>
      <c r="C92" s="3076" t="s">
        <v>2690</v>
      </c>
      <c r="D92" s="3076" t="s">
        <v>2691</v>
      </c>
      <c r="E92" s="3102">
        <v>0.15</v>
      </c>
      <c r="F92" s="3102">
        <v>20</v>
      </c>
    </row>
    <row r="93" spans="1:6" ht="13.5">
      <c r="A93" s="3102">
        <v>21</v>
      </c>
      <c r="B93" s="3963"/>
      <c r="C93" s="3076" t="s">
        <v>2692</v>
      </c>
      <c r="D93" s="3076" t="s">
        <v>2693</v>
      </c>
      <c r="E93" s="3102">
        <v>0.15</v>
      </c>
      <c r="F93" s="3102">
        <v>20</v>
      </c>
    </row>
    <row r="94" spans="1:6" ht="13.5">
      <c r="A94" s="3102">
        <v>22</v>
      </c>
      <c r="B94" s="3963"/>
      <c r="C94" s="3076" t="s">
        <v>2694</v>
      </c>
      <c r="D94" s="3076" t="s">
        <v>2695</v>
      </c>
      <c r="E94" s="3102">
        <v>0.15</v>
      </c>
      <c r="F94" s="3102">
        <v>20</v>
      </c>
    </row>
    <row r="95" spans="1:6" ht="36">
      <c r="A95" s="3102">
        <v>23</v>
      </c>
      <c r="B95" s="3963"/>
      <c r="C95" s="3076" t="s">
        <v>2696</v>
      </c>
      <c r="D95" s="3076" t="s">
        <v>2697</v>
      </c>
      <c r="E95" s="3102">
        <v>0.15</v>
      </c>
      <c r="F95" s="3102">
        <v>20</v>
      </c>
    </row>
    <row r="96" spans="1:6" ht="13.5">
      <c r="A96" s="3102">
        <v>24</v>
      </c>
      <c r="B96" s="3963"/>
      <c r="C96" s="3076" t="s">
        <v>2698</v>
      </c>
      <c r="D96" s="3076" t="s">
        <v>2699</v>
      </c>
      <c r="E96" s="3102">
        <v>0.1</v>
      </c>
      <c r="F96" s="3102">
        <v>15</v>
      </c>
    </row>
    <row r="97" spans="1:6" ht="13.5">
      <c r="A97" s="3102">
        <v>25</v>
      </c>
      <c r="B97" s="3963"/>
      <c r="C97" s="3076" t="s">
        <v>2700</v>
      </c>
      <c r="D97" s="3076" t="s">
        <v>2701</v>
      </c>
      <c r="E97" s="3102">
        <v>0.1</v>
      </c>
      <c r="F97" s="3102">
        <v>15</v>
      </c>
    </row>
    <row r="98" spans="1:6" ht="24">
      <c r="A98" s="3102">
        <v>26</v>
      </c>
      <c r="B98" s="3963"/>
      <c r="C98" s="3076" t="s">
        <v>2702</v>
      </c>
      <c r="D98" s="3076" t="s">
        <v>2703</v>
      </c>
      <c r="E98" s="3102">
        <v>0.1</v>
      </c>
      <c r="F98" s="3102">
        <v>15</v>
      </c>
    </row>
    <row r="99" spans="1:6" ht="24">
      <c r="A99" s="3102">
        <v>27</v>
      </c>
      <c r="B99" s="3963"/>
      <c r="C99" s="3076" t="s">
        <v>2704</v>
      </c>
      <c r="D99" s="3076" t="s">
        <v>2705</v>
      </c>
      <c r="E99" s="3102">
        <v>0.1</v>
      </c>
      <c r="F99" s="3102">
        <v>15</v>
      </c>
    </row>
    <row r="100" spans="1:6" ht="13.5">
      <c r="A100" s="3102">
        <v>28</v>
      </c>
      <c r="B100" s="3963"/>
      <c r="C100" s="3076" t="s">
        <v>2706</v>
      </c>
      <c r="D100" s="3076" t="s">
        <v>2707</v>
      </c>
      <c r="E100" s="3102">
        <v>0.1</v>
      </c>
      <c r="F100" s="3102">
        <v>15</v>
      </c>
    </row>
    <row r="101" spans="1:6" ht="13.5">
      <c r="A101" s="3102">
        <v>29</v>
      </c>
      <c r="B101" s="3963"/>
      <c r="C101" s="3076" t="s">
        <v>2708</v>
      </c>
      <c r="D101" s="3076" t="s">
        <v>2709</v>
      </c>
      <c r="E101" s="3102">
        <v>0.1</v>
      </c>
      <c r="F101" s="3102">
        <v>15</v>
      </c>
    </row>
    <row r="102" spans="1:6" ht="13.5">
      <c r="A102" s="3102">
        <v>30</v>
      </c>
      <c r="B102" s="3963"/>
      <c r="C102" s="3076" t="s">
        <v>2710</v>
      </c>
      <c r="D102" s="3076" t="s">
        <v>2711</v>
      </c>
      <c r="E102" s="3102">
        <v>0.1</v>
      </c>
      <c r="F102" s="3102">
        <v>15</v>
      </c>
    </row>
    <row r="103" spans="1:6" ht="24">
      <c r="A103" s="3102">
        <v>31</v>
      </c>
      <c r="B103" s="3963"/>
      <c r="C103" s="3076" t="s">
        <v>2712</v>
      </c>
      <c r="D103" s="3076" t="s">
        <v>2713</v>
      </c>
      <c r="E103" s="3102">
        <v>0.1</v>
      </c>
      <c r="F103" s="3102">
        <v>15</v>
      </c>
    </row>
    <row r="104" spans="1:6" ht="24">
      <c r="A104" s="3102">
        <v>32</v>
      </c>
      <c r="B104" s="3963"/>
      <c r="C104" s="3076" t="s">
        <v>2714</v>
      </c>
      <c r="D104" s="3076" t="s">
        <v>2715</v>
      </c>
      <c r="E104" s="3102">
        <v>0.1</v>
      </c>
      <c r="F104" s="3102">
        <v>15</v>
      </c>
    </row>
    <row r="105" spans="1:6" ht="24">
      <c r="A105" s="3102">
        <v>33</v>
      </c>
      <c r="B105" s="3963"/>
      <c r="C105" s="3076" t="s">
        <v>2716</v>
      </c>
      <c r="D105" s="3076" t="s">
        <v>2717</v>
      </c>
      <c r="E105" s="3102">
        <v>0.1</v>
      </c>
      <c r="F105" s="3102">
        <v>15</v>
      </c>
    </row>
    <row r="106" spans="1:6" ht="24">
      <c r="A106" s="3102">
        <v>34</v>
      </c>
      <c r="B106" s="3962"/>
      <c r="C106" s="3076" t="s">
        <v>2718</v>
      </c>
      <c r="D106" s="3076" t="s">
        <v>2719</v>
      </c>
      <c r="E106" s="3102">
        <v>0.1</v>
      </c>
      <c r="F106" s="3102">
        <v>15</v>
      </c>
    </row>
    <row r="107" spans="1:6" ht="24">
      <c r="A107" s="3102">
        <v>35</v>
      </c>
      <c r="B107" s="3961" t="s">
        <v>2720</v>
      </c>
      <c r="C107" s="3102" t="s">
        <v>2721</v>
      </c>
      <c r="D107" s="3076" t="s">
        <v>2722</v>
      </c>
      <c r="E107" s="3102">
        <v>0.15</v>
      </c>
      <c r="F107" s="3102">
        <v>20</v>
      </c>
    </row>
    <row r="108" spans="1:6" ht="13.5">
      <c r="A108" s="3102">
        <v>36</v>
      </c>
      <c r="B108" s="3963"/>
      <c r="C108" s="3102" t="s">
        <v>2723</v>
      </c>
      <c r="D108" s="3076" t="s">
        <v>2724</v>
      </c>
      <c r="E108" s="3102">
        <v>0.15</v>
      </c>
      <c r="F108" s="3102">
        <v>20</v>
      </c>
    </row>
    <row r="109" spans="1:6" ht="13.5">
      <c r="A109" s="3102">
        <v>37</v>
      </c>
      <c r="B109" s="3963"/>
      <c r="C109" s="3102" t="s">
        <v>2725</v>
      </c>
      <c r="D109" s="3076" t="s">
        <v>2726</v>
      </c>
      <c r="E109" s="3102">
        <v>0.15</v>
      </c>
      <c r="F109" s="3102">
        <v>20</v>
      </c>
    </row>
    <row r="110" spans="1:6" ht="13.5">
      <c r="A110" s="3102">
        <v>38</v>
      </c>
      <c r="B110" s="3963"/>
      <c r="C110" s="3102" t="s">
        <v>2727</v>
      </c>
      <c r="D110" s="3076" t="s">
        <v>2728</v>
      </c>
      <c r="E110" s="3102">
        <v>0.1</v>
      </c>
      <c r="F110" s="3102">
        <v>15</v>
      </c>
    </row>
    <row r="111" spans="1:6" ht="24">
      <c r="A111" s="3102">
        <v>39</v>
      </c>
      <c r="B111" s="3963"/>
      <c r="C111" s="3102" t="s">
        <v>2729</v>
      </c>
      <c r="D111" s="3076" t="s">
        <v>2730</v>
      </c>
      <c r="E111" s="3102">
        <v>0.1</v>
      </c>
      <c r="F111" s="3102">
        <v>15</v>
      </c>
    </row>
    <row r="112" spans="1:6" ht="24">
      <c r="A112" s="3102">
        <v>40</v>
      </c>
      <c r="B112" s="3962"/>
      <c r="C112" s="3102" t="s">
        <v>2731</v>
      </c>
      <c r="D112" s="3076" t="s">
        <v>2732</v>
      </c>
      <c r="E112" s="3102">
        <v>0.1</v>
      </c>
      <c r="F112" s="3102">
        <v>15</v>
      </c>
    </row>
    <row r="113" spans="1:6" ht="13.5">
      <c r="A113" s="3102">
        <v>41</v>
      </c>
      <c r="B113" s="3960" t="s">
        <v>2733</v>
      </c>
      <c r="C113" s="3102" t="s">
        <v>2734</v>
      </c>
      <c r="D113" s="3076" t="s">
        <v>2735</v>
      </c>
      <c r="E113" s="3102">
        <v>0.1</v>
      </c>
      <c r="F113" s="3102">
        <v>15</v>
      </c>
    </row>
    <row r="114" spans="1:6" ht="13.5">
      <c r="A114" s="3102">
        <v>42</v>
      </c>
      <c r="B114" s="3960"/>
      <c r="C114" s="3102" t="s">
        <v>2736</v>
      </c>
      <c r="D114" s="3076" t="s">
        <v>2737</v>
      </c>
      <c r="E114" s="3102">
        <v>0.1</v>
      </c>
      <c r="F114" s="3102">
        <v>15</v>
      </c>
    </row>
    <row r="115" spans="1:6" ht="24">
      <c r="A115" s="3102">
        <v>43</v>
      </c>
      <c r="B115" s="3960"/>
      <c r="C115" s="3102" t="s">
        <v>2738</v>
      </c>
      <c r="D115" s="3076" t="s">
        <v>2739</v>
      </c>
      <c r="E115" s="3102">
        <v>0.1</v>
      </c>
      <c r="F115" s="3102">
        <v>15</v>
      </c>
    </row>
    <row r="116" spans="1:6" ht="13.5">
      <c r="A116" s="3102">
        <v>44</v>
      </c>
      <c r="B116" s="3961" t="s">
        <v>2740</v>
      </c>
      <c r="C116" s="3102" t="s">
        <v>2741</v>
      </c>
      <c r="D116" s="3076" t="s">
        <v>2742</v>
      </c>
      <c r="E116" s="3102">
        <v>0.1</v>
      </c>
      <c r="F116" s="3102">
        <v>15</v>
      </c>
    </row>
    <row r="117" spans="1:6" ht="24">
      <c r="A117" s="3102">
        <v>45</v>
      </c>
      <c r="B117" s="3962"/>
      <c r="C117" s="3076" t="s">
        <v>2743</v>
      </c>
      <c r="D117" s="3076" t="s">
        <v>2744</v>
      </c>
      <c r="E117" s="3102">
        <v>0.1</v>
      </c>
      <c r="F117" s="3102">
        <v>15</v>
      </c>
    </row>
    <row r="118" spans="1:6" ht="24">
      <c r="A118" s="3102">
        <v>46</v>
      </c>
      <c r="B118" s="3961" t="s">
        <v>2745</v>
      </c>
      <c r="C118" s="3102" t="s">
        <v>2746</v>
      </c>
      <c r="D118" s="3076" t="s">
        <v>2747</v>
      </c>
      <c r="E118" s="3102">
        <v>0.1</v>
      </c>
      <c r="F118" s="3102">
        <v>15</v>
      </c>
    </row>
    <row r="119" spans="1:6" ht="24">
      <c r="A119" s="3102">
        <v>47</v>
      </c>
      <c r="B119" s="3962"/>
      <c r="C119" s="3102" t="s">
        <v>2748</v>
      </c>
      <c r="D119" s="3076" t="s">
        <v>2749</v>
      </c>
      <c r="E119" s="3102">
        <v>0.1</v>
      </c>
      <c r="F119" s="3102">
        <v>15</v>
      </c>
    </row>
    <row r="120" spans="1:6" ht="13.5">
      <c r="A120" s="3102">
        <v>48</v>
      </c>
      <c r="B120" s="3961" t="s">
        <v>2750</v>
      </c>
      <c r="C120" s="3102" t="s">
        <v>2751</v>
      </c>
      <c r="D120" s="3076" t="s">
        <v>2752</v>
      </c>
      <c r="E120" s="3102">
        <v>0.1</v>
      </c>
      <c r="F120" s="3102">
        <v>15</v>
      </c>
    </row>
    <row r="121" spans="1:6" ht="13.5">
      <c r="A121" s="3102">
        <v>49</v>
      </c>
      <c r="B121" s="3962"/>
      <c r="C121" s="3102" t="s">
        <v>2753</v>
      </c>
      <c r="D121" s="3076" t="s">
        <v>2754</v>
      </c>
      <c r="E121" s="3102">
        <v>0.1</v>
      </c>
      <c r="F121" s="3102">
        <v>15</v>
      </c>
    </row>
    <row r="122" spans="1:6" ht="24">
      <c r="A122" s="3102">
        <v>50</v>
      </c>
      <c r="B122" s="3960" t="s">
        <v>2755</v>
      </c>
      <c r="C122" s="3102" t="s">
        <v>2756</v>
      </c>
      <c r="D122" s="3076" t="s">
        <v>2757</v>
      </c>
      <c r="E122" s="3102">
        <v>0.1</v>
      </c>
      <c r="F122" s="3102">
        <v>15</v>
      </c>
    </row>
    <row r="123" spans="1:6" ht="24">
      <c r="A123" s="3102">
        <v>51</v>
      </c>
      <c r="B123" s="3960"/>
      <c r="C123" s="3102" t="s">
        <v>2758</v>
      </c>
      <c r="D123" s="3076" t="s">
        <v>2759</v>
      </c>
      <c r="E123" s="3102">
        <v>0.1</v>
      </c>
      <c r="F123" s="3102">
        <v>15</v>
      </c>
    </row>
    <row r="124" spans="1:6" ht="24">
      <c r="A124" s="3102">
        <v>52</v>
      </c>
      <c r="B124" s="3960" t="s">
        <v>2760</v>
      </c>
      <c r="C124" s="3102" t="s">
        <v>2761</v>
      </c>
      <c r="D124" s="3076" t="s">
        <v>2762</v>
      </c>
      <c r="E124" s="3102">
        <v>0.1</v>
      </c>
      <c r="F124" s="3102">
        <v>15</v>
      </c>
    </row>
    <row r="125" spans="1:6" ht="24">
      <c r="A125" s="3102">
        <v>53</v>
      </c>
      <c r="B125" s="3960"/>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60" t="s">
        <v>2768</v>
      </c>
      <c r="C127" s="3102" t="s">
        <v>2769</v>
      </c>
      <c r="D127" s="3076" t="s">
        <v>2770</v>
      </c>
      <c r="E127" s="3102">
        <v>0.1</v>
      </c>
      <c r="F127" s="3102">
        <v>15</v>
      </c>
    </row>
    <row r="128" spans="1:6" ht="13.5">
      <c r="A128" s="3102">
        <v>56</v>
      </c>
      <c r="B128" s="3960"/>
      <c r="C128" s="3102" t="s">
        <v>2771</v>
      </c>
      <c r="D128" s="3076" t="s">
        <v>2772</v>
      </c>
      <c r="E128" s="3102">
        <v>0.1</v>
      </c>
      <c r="F128" s="3102">
        <v>15</v>
      </c>
    </row>
    <row r="129" spans="1:6" ht="24">
      <c r="A129" s="3102">
        <v>57</v>
      </c>
      <c r="B129" s="3960"/>
      <c r="C129" s="3102" t="s">
        <v>2773</v>
      </c>
      <c r="D129" s="3076" t="s">
        <v>2774</v>
      </c>
      <c r="E129" s="3102">
        <v>0.1</v>
      </c>
      <c r="F129" s="3102">
        <v>15</v>
      </c>
    </row>
    <row r="130" spans="1:6" ht="24">
      <c r="A130" s="3102">
        <v>58</v>
      </c>
      <c r="B130" s="3960" t="s">
        <v>2775</v>
      </c>
      <c r="C130" s="3102" t="s">
        <v>2776</v>
      </c>
      <c r="D130" s="3076" t="s">
        <v>2777</v>
      </c>
      <c r="E130" s="3102">
        <v>0.1</v>
      </c>
      <c r="F130" s="3102">
        <v>15</v>
      </c>
    </row>
    <row r="131" spans="1:6" ht="13.5">
      <c r="A131" s="3102">
        <v>59</v>
      </c>
      <c r="B131" s="3960"/>
      <c r="C131" s="3102" t="s">
        <v>2778</v>
      </c>
      <c r="D131" s="3076" t="s">
        <v>2779</v>
      </c>
      <c r="E131" s="3102">
        <v>0.1</v>
      </c>
      <c r="F131" s="3102">
        <v>15</v>
      </c>
    </row>
    <row r="132" spans="1:6" ht="13.5">
      <c r="A132" s="3102">
        <v>60</v>
      </c>
      <c r="B132" s="3961" t="s">
        <v>2780</v>
      </c>
      <c r="C132" s="3102" t="s">
        <v>2781</v>
      </c>
      <c r="D132" s="3076" t="s">
        <v>2782</v>
      </c>
      <c r="E132" s="3102">
        <v>0.1</v>
      </c>
      <c r="F132" s="3102">
        <v>15</v>
      </c>
    </row>
    <row r="133" spans="1:6" ht="13.5">
      <c r="A133" s="3102">
        <v>61</v>
      </c>
      <c r="B133" s="3962"/>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60" t="s">
        <v>2788</v>
      </c>
      <c r="C135" s="3102" t="s">
        <v>2789</v>
      </c>
      <c r="D135" s="3076" t="s">
        <v>2790</v>
      </c>
      <c r="E135" s="3102">
        <v>0.1</v>
      </c>
      <c r="F135" s="3102">
        <v>15</v>
      </c>
    </row>
    <row r="136" spans="1:6" ht="13.5">
      <c r="A136" s="3102">
        <v>64</v>
      </c>
      <c r="B136" s="3960"/>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29574</v>
      </c>
      <c r="C2" s="2" t="s">
        <v>106</v>
      </c>
      <c r="D2" s="199"/>
      <c r="E2" s="199"/>
      <c r="F2" s="199"/>
      <c r="G2" s="199"/>
    </row>
    <row r="3" spans="1:7" s="200" customFormat="1" ht="18" customHeight="1" thickBot="1">
      <c r="A3" s="203" t="s">
        <v>58</v>
      </c>
      <c r="B3" s="204">
        <f ca="1">ROUND(B2*10000/'数据-汇总表'!E3,0)</f>
        <v>216504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26</v>
      </c>
      <c r="D10" s="837">
        <f>'数据-汇总表'!E6</f>
        <v>1365.98</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27</v>
      </c>
      <c r="D19" s="841">
        <f>'数据-汇总表'!E3</f>
        <v>1365.98</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1844</v>
      </c>
      <c r="D22" s="235">
        <f ca="1">C26</f>
        <v>8.9999999999999998E-4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1824</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18</v>
      </c>
      <c r="D25" s="238"/>
      <c r="E25" s="241"/>
      <c r="F25" s="239"/>
      <c r="G25" s="242" t="s">
        <v>83</v>
      </c>
    </row>
    <row r="26" spans="1:7" s="214" customFormat="1">
      <c r="A26" s="772" t="s">
        <v>350</v>
      </c>
      <c r="B26" s="215" t="s">
        <v>422</v>
      </c>
      <c r="C26" s="238">
        <f ca="1">ROUND(IF('数据-取费表'!B22&lt;=1,F21*F22*'数据-取费表'!B23/2,F21*(POWER((1+F22),'数据-取费表'!B23/2)-1)),4)</f>
        <v>8.9999999999999998E-4</v>
      </c>
      <c r="D26" s="238"/>
      <c r="E26" s="241"/>
      <c r="F26" s="239"/>
      <c r="G26" s="243"/>
    </row>
    <row r="27" spans="1:7" s="214" customFormat="1" ht="24.75">
      <c r="A27" s="769" t="s">
        <v>342</v>
      </c>
      <c r="B27" s="244" t="s">
        <v>85</v>
      </c>
      <c r="C27" s="245">
        <f>C28</f>
        <v>3368</v>
      </c>
      <c r="D27" s="235">
        <f>C29</f>
        <v>3.2000000000000002E-3</v>
      </c>
      <c r="E27" s="236" t="s">
        <v>99</v>
      </c>
      <c r="F27" s="246">
        <f>'数据-取费表'!Q16</f>
        <v>0.16</v>
      </c>
      <c r="G27" s="247" t="s">
        <v>431</v>
      </c>
    </row>
    <row r="28" spans="1:7" s="214" customFormat="1" ht="13.5" customHeight="1">
      <c r="A28" s="772" t="s">
        <v>349</v>
      </c>
      <c r="B28" s="248" t="s">
        <v>424</v>
      </c>
      <c r="C28" s="249">
        <f>ROUND((C5+C19+C20)*F27*'数据-取费表'!B21/'数据-取费表'!B20,0)</f>
        <v>3368</v>
      </c>
      <c r="D28" s="235"/>
      <c r="E28" s="236"/>
      <c r="F28" s="246"/>
      <c r="G28" s="247"/>
    </row>
    <row r="29" spans="1:7" s="214" customFormat="1" ht="13.5" customHeight="1">
      <c r="A29" s="772" t="s">
        <v>347</v>
      </c>
      <c r="B29" s="248" t="s">
        <v>425</v>
      </c>
      <c r="C29" s="238">
        <f>ROUND(C21*F27*'数据-取费表'!B21/'数据-取费表'!B20,4)</f>
        <v>3.2000000000000002E-3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900</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820</v>
      </c>
      <c r="D34" s="217"/>
      <c r="E34" s="220"/>
      <c r="F34" s="257">
        <f>IF('数据-取费表'!B24=0,1,'数据-取费表'!N16)</f>
        <v>1</v>
      </c>
      <c r="G34" s="219" t="s">
        <v>89</v>
      </c>
    </row>
    <row r="35" spans="1:7" ht="13.5" customHeight="1">
      <c r="A35" s="772" t="s">
        <v>351</v>
      </c>
      <c r="B35" s="215" t="s">
        <v>33</v>
      </c>
      <c r="C35" s="220">
        <f>ROUND(C34*F35,0)</f>
        <v>41</v>
      </c>
      <c r="D35" s="220"/>
      <c r="E35" s="220"/>
      <c r="F35" s="259">
        <f>'数据-取费表'!B33</f>
        <v>0.05</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2" t="s">
        <v>353</v>
      </c>
      <c r="B37" s="215" t="s">
        <v>91</v>
      </c>
      <c r="C37" s="249">
        <f>ROUND(E37*D37*F34/10000,0)</f>
        <v>27</v>
      </c>
      <c r="D37" s="217">
        <f>'数据-汇总表'!E3</f>
        <v>1365.98</v>
      </c>
      <c r="E37" s="249">
        <f>'数据-取费表'!B35</f>
        <v>200</v>
      </c>
      <c r="F37" s="259"/>
      <c r="G37" s="261" t="s">
        <v>92</v>
      </c>
    </row>
    <row r="38" spans="1:7" ht="13.5" customHeight="1">
      <c r="A38" s="772" t="s">
        <v>354</v>
      </c>
      <c r="B38" s="215" t="s">
        <v>36</v>
      </c>
      <c r="C38" s="220">
        <f>ROUND(C34*F38,0)</f>
        <v>12</v>
      </c>
      <c r="D38" s="220"/>
      <c r="E38" s="220"/>
      <c r="F38" s="259">
        <f>'数据-取费表'!B36</f>
        <v>1.4999999999999999E-2</v>
      </c>
      <c r="G38" s="219" t="s">
        <v>90</v>
      </c>
    </row>
    <row r="39" spans="1:7" s="214" customFormat="1" ht="13.5" customHeight="1">
      <c r="A39" s="769" t="s">
        <v>338</v>
      </c>
      <c r="B39" s="210" t="s">
        <v>77</v>
      </c>
      <c r="C39" s="232">
        <f>ROUND(C33*F20,0)</f>
        <v>18</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40</v>
      </c>
      <c r="D41" s="235">
        <f ca="1">C44</f>
        <v>8.9999999999999998E-4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39</v>
      </c>
      <c r="D42" s="238"/>
      <c r="E42" s="238"/>
      <c r="F42" s="239"/>
      <c r="G42" s="3862" t="s">
        <v>94</v>
      </c>
    </row>
    <row r="43" spans="1:7" ht="13.5" customHeight="1">
      <c r="A43" s="772" t="s">
        <v>347</v>
      </c>
      <c r="B43" s="215" t="s">
        <v>426</v>
      </c>
      <c r="C43" s="238">
        <f ca="1">ROUND(IF('数据-取费表'!B22&lt;=1,C39*F22*'数据-取费表'!B21/2,C39*(POWER((1+F22),'数据-取费表'!B21/2)-1)),0)</f>
        <v>1</v>
      </c>
      <c r="D43" s="238"/>
      <c r="E43" s="238"/>
      <c r="F43" s="239"/>
      <c r="G43" s="3863"/>
    </row>
    <row r="44" spans="1:7" ht="13.5" customHeight="1">
      <c r="A44" s="772" t="s">
        <v>348</v>
      </c>
      <c r="B44" s="215" t="s">
        <v>428</v>
      </c>
      <c r="C44" s="238">
        <f ca="1">ROUND(IF('数据-取费表'!B22&lt;=1,C40*F22*'数据-取费表'!B21/2,C40*(POWER((1+F22),'数据-取费表'!B21/2)-1)),4)</f>
        <v>8.9999999999999998E-4</v>
      </c>
      <c r="D44" s="238"/>
      <c r="E44" s="238"/>
      <c r="F44" s="239"/>
      <c r="G44" s="3864"/>
    </row>
    <row r="45" spans="1:7" s="214" customFormat="1" ht="13.5" customHeight="1">
      <c r="A45" s="769" t="s">
        <v>341</v>
      </c>
      <c r="B45" s="244" t="s">
        <v>85</v>
      </c>
      <c r="C45" s="245">
        <f>C46</f>
        <v>147</v>
      </c>
      <c r="D45" s="235">
        <f>C47</f>
        <v>3.2000000000000002E-3</v>
      </c>
      <c r="E45" s="236" t="s">
        <v>102</v>
      </c>
      <c r="F45" s="246"/>
      <c r="G45" s="247" t="s">
        <v>434</v>
      </c>
    </row>
    <row r="46" spans="1:7" s="214" customFormat="1" ht="13.5" customHeight="1">
      <c r="A46" s="772" t="s">
        <v>349</v>
      </c>
      <c r="B46" s="248" t="s">
        <v>427</v>
      </c>
      <c r="C46" s="249">
        <f>ROUND((C33+C39)*F27,0)</f>
        <v>147</v>
      </c>
      <c r="D46" s="263"/>
      <c r="E46" s="236"/>
      <c r="F46" s="246"/>
      <c r="G46" s="247"/>
    </row>
    <row r="47" spans="1:7" s="214" customFormat="1" ht="13.5" customHeight="1">
      <c r="A47" s="772" t="s">
        <v>347</v>
      </c>
      <c r="B47" s="248" t="s">
        <v>429</v>
      </c>
      <c r="C47" s="238">
        <f>ROUND(C40*F27,4)</f>
        <v>3.2000000000000002E-3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1197</v>
      </c>
      <c r="D49" s="232"/>
      <c r="E49" s="232"/>
      <c r="F49" s="264"/>
      <c r="G49" s="234" t="s">
        <v>435</v>
      </c>
    </row>
    <row r="50" spans="1:7" s="258" customFormat="1" ht="24">
      <c r="A50" s="769" t="s">
        <v>344</v>
      </c>
      <c r="B50" s="210" t="s">
        <v>97</v>
      </c>
      <c r="C50" s="232"/>
      <c r="D50" s="232"/>
      <c r="E50" s="232"/>
      <c r="F50" s="264">
        <f>IF('数据-取费表'!B24=0,'数据-取费表'!N16,1)</f>
        <v>0.95</v>
      </c>
      <c r="G50" s="247" t="s">
        <v>98</v>
      </c>
    </row>
    <row r="51" spans="1:7" ht="16.5" customHeight="1">
      <c r="A51" s="769" t="s">
        <v>345</v>
      </c>
      <c r="B51" s="210" t="s">
        <v>105</v>
      </c>
      <c r="C51" s="232">
        <f ca="1">ROUND(C49*F50,0)</f>
        <v>1137</v>
      </c>
      <c r="D51" s="232"/>
      <c r="E51" s="232"/>
      <c r="F51" s="264"/>
      <c r="G51" s="234" t="s">
        <v>37</v>
      </c>
    </row>
    <row r="52" spans="1:7" s="208" customFormat="1" ht="16.5" thickBot="1">
      <c r="A52" s="265" t="s">
        <v>38</v>
      </c>
      <c r="B52" s="266"/>
      <c r="C52" s="267">
        <f ca="1">C31+C51</f>
        <v>29574</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74" t="s">
        <v>2840</v>
      </c>
      <c r="B1" s="3974"/>
      <c r="C1" s="3974"/>
      <c r="D1" s="3974"/>
      <c r="E1" s="3974"/>
      <c r="F1" s="3974"/>
      <c r="G1" s="3975"/>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72"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73"/>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76" t="s">
        <v>3182</v>
      </c>
      <c r="B1" s="3976"/>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77" t="s">
        <v>3233</v>
      </c>
      <c r="B1" s="3977"/>
      <c r="C1" s="3977"/>
      <c r="D1" s="3977"/>
      <c r="E1" s="3977"/>
      <c r="F1" s="3978"/>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45320</v>
      </c>
      <c r="B1" s="3194" t="s">
        <v>2839</v>
      </c>
      <c r="C1" s="3195"/>
      <c r="D1" s="3195"/>
      <c r="E1" s="3195"/>
      <c r="F1" s="3195"/>
      <c r="G1" s="3195"/>
      <c r="H1" s="3195"/>
      <c r="I1" s="3195"/>
      <c r="J1" s="3149"/>
      <c r="K1" s="3195" t="s">
        <v>454</v>
      </c>
      <c r="L1" s="3195"/>
      <c r="M1" s="3195"/>
      <c r="N1" s="3195"/>
      <c r="O1" s="3195"/>
      <c r="P1" s="3195"/>
      <c r="Q1" s="3149"/>
      <c r="R1" s="3979" t="s">
        <v>456</v>
      </c>
      <c r="S1" s="3980"/>
      <c r="T1" s="3980"/>
      <c r="U1" s="3980"/>
      <c r="V1" s="3980"/>
      <c r="W1" s="3980"/>
      <c r="X1" s="3149"/>
      <c r="Y1" s="3979" t="s">
        <v>457</v>
      </c>
      <c r="Z1" s="3980"/>
      <c r="AA1" s="3980"/>
      <c r="AB1" s="3980"/>
      <c r="AC1" s="3980"/>
      <c r="AD1" s="3980"/>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ROUND(IF([4]项目基本情况!B8="出让",SUMPRODUCT(PRODUCT(1+K9:K16)),SUMPRODUCT(PRODUCT(1+K9:K15))),4)</f>
        <v>1.0565</v>
      </c>
      <c r="S9" s="3167">
        <f>ROUND(IF([4]项目基本情况!B8="出让",SUMPRODUCT(PRODUCT(1+L9:L16)),SUMPRODUCT(PRODUCT(1+L9:L15))),4)</f>
        <v>1.0250999999999999</v>
      </c>
      <c r="T9" s="3167">
        <f>ROUND(IF([4]项目基本情况!B8="出让",SUMPRODUCT(PRODUCT(1+M9:M16)),SUMPRODUCT(PRODUCT(1+M9:M15))),4)</f>
        <v>1.0145</v>
      </c>
      <c r="U9" s="3167">
        <f>ROUND(IF([4]项目基本情况!B8="出让",SUMPRODUCT(PRODUCT(1+N9:N16)),SUMPRODUCT(PRODUCT(1+N9:N15))),4)</f>
        <v>1.0618000000000001</v>
      </c>
      <c r="V9" s="3167">
        <f>ROUND(IF([4]项目基本情况!B8="出让",SUMPRODUCT(PRODUCT(1+O9:O16)),SUMPRODUCT(PRODUCT(1+O9:O15))),4)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ROUND(IF([4]项目基本情况!B8="出让",SUMPRODUCT(PRODUCT(1+K10:K16)),SUMPRODUCT(PRODUCT(1+K10:K15))),4)</f>
        <v>1.05</v>
      </c>
      <c r="S10" s="3167">
        <f>ROUND(IF([4]项目基本情况!B8="出让",SUMPRODUCT(PRODUCT(1+L10:L16)),SUMPRODUCT(PRODUCT(1+L10:L15))),4)</f>
        <v>1.0229999999999999</v>
      </c>
      <c r="T10" s="3167">
        <f>ROUND(IF([4]项目基本情况!B8="出让",SUMPRODUCT(PRODUCT(1+M10:M16)),SUMPRODUCT(PRODUCT(1+M10:M15))),4)</f>
        <v>1.0134000000000001</v>
      </c>
      <c r="U10" s="3167">
        <f>ROUND(IF([4]项目基本情况!B8="出让",SUMPRODUCT(PRODUCT(1+N10:N16)),SUMPRODUCT(PRODUCT(1+N10:N15))),4)</f>
        <v>1.0545</v>
      </c>
      <c r="V10" s="3167">
        <f>ROUND(IF([4]项目基本情况!B8="出让",SUMPRODUCT(PRODUCT(1+O10:O16)),SUMPRODUCT(PRODUCT(1+O10:O15))),4)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ROUND(IF([4]项目基本情况!B8="出让",SUMPRODUCT(PRODUCT(1+K11:K16)),SUMPRODUCT(PRODUCT(1+K11:K15))),4)</f>
        <v>1.0430999999999999</v>
      </c>
      <c r="S11" s="3167">
        <f>ROUND(IF([4]项目基本情况!B8="出让",SUMPRODUCT(PRODUCT(1+L11:L16)),SUMPRODUCT(PRODUCT(1+L11:L15))),4)</f>
        <v>1.0197000000000001</v>
      </c>
      <c r="T11" s="3167">
        <f>ROUND(IF([4]项目基本情况!B8="出让",SUMPRODUCT(PRODUCT(1+M11:M16)),SUMPRODUCT(PRODUCT(1+M11:M15))),4)</f>
        <v>1.0109999999999999</v>
      </c>
      <c r="U11" s="3167">
        <f>ROUND(IF([4]项目基本情况!B8="出让",SUMPRODUCT(PRODUCT(1+N11:N16)),SUMPRODUCT(PRODUCT(1+N11:N15))),4)</f>
        <v>1.0468999999999999</v>
      </c>
      <c r="V11" s="3167">
        <f>ROUND(IF([4]项目基本情况!B8="出让",SUMPRODUCT(PRODUCT(1+O11:O16)),SUMPRODUCT(PRODUCT(1+O11:O15))),4)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ROUND(IF([4]项目基本情况!B8="出让",SUMPRODUCT(PRODUCT(1+K12:K16)),SUMPRODUCT(PRODUCT(1+K12:K15))),4)</f>
        <v>1.0335000000000001</v>
      </c>
      <c r="S12" s="3167">
        <f>ROUND(IF([4]项目基本情况!B8="出让",SUMPRODUCT(PRODUCT(1+L12:L16)),SUMPRODUCT(PRODUCT(1+L12:L15))),4)</f>
        <v>1.0182</v>
      </c>
      <c r="T12" s="3167">
        <f>ROUND(IF([4]项目基本情况!B8="出让",SUMPRODUCT(PRODUCT(1+M12:M16)),SUMPRODUCT(PRODUCT(1+M12:M15))),4)</f>
        <v>1.0108999999999999</v>
      </c>
      <c r="U12" s="3167">
        <f>ROUND(IF([4]项目基本情况!B8="出让",SUMPRODUCT(PRODUCT(1+N12:N16)),SUMPRODUCT(PRODUCT(1+N12:N15))),4)</f>
        <v>1.0361</v>
      </c>
      <c r="V12" s="3167">
        <f>ROUND(IF([4]项目基本情况!B8="出让",SUMPRODUCT(PRODUCT(1+O12:O16)),SUMPRODUCT(PRODUCT(1+O12:O15))),4)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ROUND(IF([4]项目基本情况!B8="出让",SUMPRODUCT(PRODUCT(1+K13:K16)),SUMPRODUCT(PRODUCT(1+K13:K15))),4)</f>
        <v>1.0244</v>
      </c>
      <c r="S13" s="3167">
        <f>ROUND(IF([4]项目基本情况!B8="出让",SUMPRODUCT(PRODUCT(1+L13:L16)),SUMPRODUCT(PRODUCT(1+L13:L15))),4)</f>
        <v>1.0138</v>
      </c>
      <c r="T13" s="3167">
        <f>ROUND(IF([4]项目基本情况!B8="出让",SUMPRODUCT(PRODUCT(1+M13:M16)),SUMPRODUCT(PRODUCT(1+M13:M15))),4)</f>
        <v>1.0072000000000001</v>
      </c>
      <c r="U13" s="3167">
        <f>ROUND(IF([4]项目基本情况!B8="出让",SUMPRODUCT(PRODUCT(1+N13:N16)),SUMPRODUCT(PRODUCT(1+N13:N15))),4)</f>
        <v>1.0262</v>
      </c>
      <c r="V13" s="3167">
        <f>ROUND(IF([4]项目基本情况!B8="出让",SUMPRODUCT(PRODUCT(1+O13:O16)),SUMPRODUCT(PRODUCT(1+O13:O15))),4)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ROUND(IF([4]项目基本情况!B8="出让",SUMPRODUCT(PRODUCT(1+K14:K16)),SUMPRODUCT(PRODUCT(1+K14:K15))),4)</f>
        <v>1.0139</v>
      </c>
      <c r="S14" s="3167">
        <f>ROUND(IF([4]项目基本情况!B8="出让",SUMPRODUCT(PRODUCT(1+L14:L16)),SUMPRODUCT(PRODUCT(1+L14:L15))),4)</f>
        <v>1.0113000000000001</v>
      </c>
      <c r="T14" s="3167">
        <f>ROUND(IF([4]项目基本情况!B8="出让",SUMPRODUCT(PRODUCT(1+M14:M16)),SUMPRODUCT(PRODUCT(1+M14:M15))),4)</f>
        <v>1.0065</v>
      </c>
      <c r="U14" s="3167">
        <f>ROUND(IF([4]项目基本情况!B8="出让",SUMPRODUCT(PRODUCT(1+N14:N16)),SUMPRODUCT(PRODUCT(1+N14:N15))),4)</f>
        <v>1.0143</v>
      </c>
      <c r="V14" s="3167">
        <f>ROUND(IF([4]项目基本情况!B8="出让",SUMPRODUCT(PRODUCT(1+O14:O16)),SUMPRODUCT(PRODUCT(1+O14:O15))),4)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ROUND(IF([4]项目基本情况!B8="出让",SUMPRODUCT(PRODUCT(1+K15:K16)),SUMPRODUCT(PRODUCT(1+K15:K15))),4)</f>
        <v>1.0092000000000001</v>
      </c>
      <c r="S15" s="3167">
        <f>ROUND(IF([4]项目基本情况!B8="出让",SUMPRODUCT(PRODUCT(1+L15:L16)),SUMPRODUCT(PRODUCT(1+L15:L15))),4)</f>
        <v>1.0072000000000001</v>
      </c>
      <c r="T15" s="3167">
        <f>ROUND(IF([4]项目基本情况!B8="出让",SUMPRODUCT(PRODUCT(1+M15:M16)),SUMPRODUCT(PRODUCT(1+M15:M15))),4)</f>
        <v>1.0041</v>
      </c>
      <c r="U15" s="3167">
        <f>ROUND(IF([4]项目基本情况!B8="出让",SUMPRODUCT(PRODUCT(1+N15:N16)),SUMPRODUCT(PRODUCT(1+N15:N15))),4)</f>
        <v>1.0095000000000001</v>
      </c>
      <c r="V15" s="3167">
        <f>ROUND(IF([4]项目基本情况!B8="出让",SUMPRODUCT(PRODUCT(1+O15:O16)),SUMPRODUCT(PRODUCT(1+O15:O15))),4)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79" t="s">
        <v>2827</v>
      </c>
      <c r="S21" s="3980"/>
      <c r="T21" s="3980"/>
      <c r="U21" s="3980"/>
      <c r="V21" s="3980"/>
      <c r="W21" s="3980"/>
      <c r="X21" s="3149"/>
      <c r="Y21" s="3979" t="s">
        <v>2828</v>
      </c>
      <c r="Z21" s="3980"/>
      <c r="AA21" s="3980"/>
      <c r="AB21" s="3980"/>
      <c r="AC21" s="3980"/>
      <c r="AD21" s="3980"/>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ROUND(IF([4]项目基本情况!$B$8="出让",SUMPRODUCT(PRODUCT(1+L25:L$36)),SUMPRODUCT(PRODUCT(1+L25:L$35))),4)</f>
        <v>1.0396000000000001</v>
      </c>
      <c r="T25" s="3167">
        <f>ROUND(IF([4]项目基本情况!$B$8="出让",SUMPRODUCT(PRODUCT(1+M25:M$36)),SUMPRODUCT(PRODUCT(1+M25:M$35))),4)</f>
        <v>1.0269999999999999</v>
      </c>
      <c r="U25" s="3167">
        <f>ROUND(IF([4]项目基本情况!$B$8="出让",SUMPRODUCT(PRODUCT(1+N25:N$36)),SUMPRODUCT(PRODUCT(1+N25:N$35))),4)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ROUND(IF([4]项目基本情况!$B$8="出让",SUMPRODUCT(PRODUCT(1+L26:L$36)),SUMPRODUCT(PRODUCT(1+L26:L$35))),4)</f>
        <v>1.0396000000000001</v>
      </c>
      <c r="T26" s="3167">
        <f>ROUND(IF([4]项目基本情况!$B$8="出让",SUMPRODUCT(PRODUCT(1+M26:M$36)),SUMPRODUCT(PRODUCT(1+M26:M$35))),4)</f>
        <v>1.0269999999999999</v>
      </c>
      <c r="U26" s="3167">
        <f>ROUND(IF([4]项目基本情况!$B$8="出让",SUMPRODUCT(PRODUCT(1+N26:N$36)),SUMPRODUCT(PRODUCT(1+N26:N$35))),4)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ROUND(IF([4]项目基本情况!$B$8="出让",SUMPRODUCT(PRODUCT(1+L27:L$36)),SUMPRODUCT(PRODUCT(1+L27:L$35))),4)</f>
        <v>1.0396000000000001</v>
      </c>
      <c r="T27" s="3176">
        <f>ROUND(IF([4]项目基本情况!$B$8="出让",SUMPRODUCT(PRODUCT(1+M27:M$36)),SUMPRODUCT(PRODUCT(1+M27:M$35))),4)</f>
        <v>1.0269999999999999</v>
      </c>
      <c r="U27" s="3176">
        <f>ROUND(IF([4]项目基本情况!$B$8="出让",SUMPRODUCT(PRODUCT(1+N27:N$36)),SUMPRODUCT(PRODUCT(1+N27:N$35))),4)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ROUND(IF([4]项目基本情况!$B$8="出让",SUMPRODUCT(PRODUCT(1+L28:L$36)),SUMPRODUCT(PRODUCT(1+L28:L$35))),4)</f>
        <v>1.0344</v>
      </c>
      <c r="T28" s="3167">
        <f>ROUND(IF([4]项目基本情况!$B$8="出让",SUMPRODUCT(PRODUCT(1+M28:M$36)),SUMPRODUCT(PRODUCT(1+M28:M$35))),4)</f>
        <v>1.0224</v>
      </c>
      <c r="U28" s="3167">
        <f>ROUND(IF([4]项目基本情况!$B$8="出让",SUMPRODUCT(PRODUCT(1+N28:N$36)),SUMPRODUCT(PRODUCT(1+N28:N$35))),4)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ROUND(IF([4]项目基本情况!$B$8="出让",SUMPRODUCT(PRODUCT(1+L29:L$36)),SUMPRODUCT(PRODUCT(1+L29:L$35))),4)</f>
        <v>1.0286999999999999</v>
      </c>
      <c r="T29" s="3167">
        <f>ROUND(IF([4]项目基本情况!$B$8="出让",SUMPRODUCT(PRODUCT(1+M29:M$36)),SUMPRODUCT(PRODUCT(1+M29:M$35))),4)</f>
        <v>1.0164</v>
      </c>
      <c r="U29" s="3167">
        <f>ROUND(IF([4]项目基本情况!$B$8="出让",SUMPRODUCT(PRODUCT(1+N29:N$36)),SUMPRODUCT(PRODUCT(1+N29:N$35))),4)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ROUND(IF([4]项目基本情况!$B$8="出让",SUMPRODUCT(PRODUCT(1+L30:L$36)),SUMPRODUCT(PRODUCT(1+L30:L$35))),4)</f>
        <v>1.0241</v>
      </c>
      <c r="T30" s="3167">
        <f>ROUND(IF([4]项目基本情况!$B$8="出让",SUMPRODUCT(PRODUCT(1+M30:M$36)),SUMPRODUCT(PRODUCT(1+M30:M$35))),4)</f>
        <v>1.0144</v>
      </c>
      <c r="U30" s="3167">
        <f>ROUND(IF([4]项目基本情况!$B$8="出让",SUMPRODUCT(PRODUCT(1+N30:N$36)),SUMPRODUCT(PRODUCT(1+N30:N$35))),4)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ROUND(IF([4]项目基本情况!$B$8="出让",SUMPRODUCT(PRODUCT(1+L31:L$36)),SUMPRODUCT(PRODUCT(1+L31:L$35))),4)</f>
        <v>1.0210999999999999</v>
      </c>
      <c r="T31" s="3167">
        <f>ROUND(IF([4]项目基本情况!$B$8="出让",SUMPRODUCT(PRODUCT(1+M31:M$36)),SUMPRODUCT(PRODUCT(1+M31:M$35))),4)</f>
        <v>1.0114000000000001</v>
      </c>
      <c r="U31" s="3167">
        <f>ROUND(IF([4]项目基本情况!$B$8="出让",SUMPRODUCT(PRODUCT(1+N31:N$36)),SUMPRODUCT(PRODUCT(1+N31:N$35))),4)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ROUND(IF([4]项目基本情况!$B$8="出让",SUMPRODUCT(PRODUCT(1+L32:L$36)),SUMPRODUCT(PRODUCT(1+L32:L$35))),4)</f>
        <v>1.0222</v>
      </c>
      <c r="T32" s="3167">
        <f>ROUND(IF([4]项目基本情况!$B$8="出让",SUMPRODUCT(PRODUCT(1+M32:M$36)),SUMPRODUCT(PRODUCT(1+M32:M$35))),4)</f>
        <v>1.0127999999999999</v>
      </c>
      <c r="U32" s="3167">
        <f>ROUND(IF([4]项目基本情况!$B$8="出让",SUMPRODUCT(PRODUCT(1+N32:N$36)),SUMPRODUCT(PRODUCT(1+N32:N$35))),4)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ROUND(IF([4]项目基本情况!$B$8="出让",SUMPRODUCT(PRODUCT(1+L33:L$36)),SUMPRODUCT(PRODUCT(1+L33:L$35))),4)</f>
        <v>1.0161</v>
      </c>
      <c r="T33" s="3167">
        <f>ROUND(IF([4]项目基本情况!$B$8="出让",SUMPRODUCT(PRODUCT(1+M33:M$36)),SUMPRODUCT(PRODUCT(1+M33:M$35))),4)</f>
        <v>1.0082</v>
      </c>
      <c r="U33" s="3167">
        <f>ROUND(IF([4]项目基本情况!$B$8="出让",SUMPRODUCT(PRODUCT(1+N33:N$36)),SUMPRODUCT(PRODUCT(1+N33:N$35))),4)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ROUND(IF([4]项目基本情况!$B$8="出让",SUMPRODUCT(PRODUCT(1+L34:L$36)),SUMPRODUCT(PRODUCT(1+L34:L$35))),4)</f>
        <v>1.0102</v>
      </c>
      <c r="T34" s="3167">
        <f>ROUND(IF([4]项目基本情况!$B$8="出让",SUMPRODUCT(PRODUCT(1+M34:M$36)),SUMPRODUCT(PRODUCT(1+M34:M$35))),4)</f>
        <v>1.0074000000000001</v>
      </c>
      <c r="U34" s="3167">
        <f>ROUND(IF([4]项目基本情况!$B$8="出让",SUMPRODUCT(PRODUCT(1+N34:N$36)),SUMPRODUCT(PRODUCT(1+N34:N$35))),4)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ROUND(IF([4]项目基本情况!$B$8="出让",SUMPRODUCT(PRODUCT(1+L35:L$36)),SUMPRODUCT(PRODUCT(1+L35:L$35))),4)</f>
        <v>1.0055000000000001</v>
      </c>
      <c r="T35" s="3167">
        <f>ROUND(IF([4]项目基本情况!$B$8="出让",SUMPRODUCT(PRODUCT(1+M35:M$36)),SUMPRODUCT(PRODUCT(1+M35:M$35))),4)</f>
        <v>1.0045999999999999</v>
      </c>
      <c r="U35" s="3167">
        <f>ROUND(IF([4]项目基本情况!$B$8="出让",SUMPRODUCT(PRODUCT(1+N35:N$36)),SUMPRODUCT(PRODUCT(1+N35:N$35))),4)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86" t="s">
        <v>452</v>
      </c>
      <c r="C1" s="3986"/>
      <c r="D1" s="3986"/>
      <c r="E1" s="3986"/>
      <c r="F1" s="3986"/>
      <c r="G1" s="3985" t="s">
        <v>453</v>
      </c>
      <c r="H1" s="3985"/>
      <c r="I1" s="3985"/>
      <c r="J1" s="3985"/>
      <c r="K1" s="3985"/>
      <c r="L1" s="3985"/>
      <c r="N1" s="3985" t="s">
        <v>454</v>
      </c>
      <c r="O1" s="3985"/>
      <c r="P1" s="3985"/>
      <c r="Q1" s="3985"/>
      <c r="S1" s="3985" t="s">
        <v>455</v>
      </c>
      <c r="T1" s="3985"/>
      <c r="U1" s="3985"/>
      <c r="V1" s="3985"/>
      <c r="X1" s="3984" t="s">
        <v>456</v>
      </c>
      <c r="Y1" s="3985"/>
      <c r="Z1" s="3985"/>
      <c r="AA1" s="3985"/>
      <c r="AB1" s="3985"/>
      <c r="AD1" s="3984" t="s">
        <v>457</v>
      </c>
      <c r="AE1" s="3985"/>
      <c r="AF1" s="3985"/>
      <c r="AG1" s="3985"/>
      <c r="AH1" s="3985"/>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82">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82"/>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82"/>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91"/>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87">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82"/>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82"/>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91"/>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87">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82"/>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82"/>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83"/>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81">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82"/>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82"/>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83"/>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81">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82"/>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82"/>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83"/>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88">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89"/>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89"/>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90"/>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81">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82"/>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82"/>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83"/>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81">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82">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82">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83">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81">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82">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82">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83">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81">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82">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82">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83">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81">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82">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82">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83">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81">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82">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82">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83">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81">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82">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82">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83">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81">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82">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82">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83">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81">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82">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82">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83">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81">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82">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82">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83">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81">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82">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82">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83">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45320</v>
      </c>
      <c r="D1" s="1294" t="s">
        <v>603</v>
      </c>
      <c r="E1" s="1289">
        <f>'数据-取费表'!B22</f>
        <v>2.5</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45" t="str">
        <f>IF(项目基本情况!B9="房地产市场价值","估价结果一览表","结果表-2")</f>
        <v>结果表-2</v>
      </c>
      <c r="B1" s="3645"/>
      <c r="C1" s="3645"/>
      <c r="D1" s="3645"/>
      <c r="E1" s="3645"/>
      <c r="F1" s="3645"/>
      <c r="G1" s="3645"/>
      <c r="H1" s="3645"/>
      <c r="I1" s="3645"/>
    </row>
    <row r="2" spans="1:9" ht="30" customHeight="1" thickTop="1">
      <c r="A2" s="3646" t="s">
        <v>928</v>
      </c>
      <c r="B2" s="3646" t="s">
        <v>929</v>
      </c>
      <c r="C2" s="3646" t="s">
        <v>930</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spans="1:9" ht="15">
      <c r="A3" s="3641"/>
      <c r="B3" s="3641"/>
      <c r="C3" s="3641"/>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1365.98</v>
      </c>
      <c r="C4" s="846">
        <f>项目基本情况!C18</f>
        <v>0</v>
      </c>
      <c r="D4" s="846">
        <f>结果表!D118</f>
        <v>0</v>
      </c>
      <c r="E4" s="846">
        <f>结果表!E118</f>
        <v>0</v>
      </c>
      <c r="F4" s="846">
        <f>结果表!F118</f>
        <v>0</v>
      </c>
      <c r="G4" s="846">
        <f>结果表!G118</f>
        <v>0</v>
      </c>
      <c r="H4" s="846">
        <f ca="1">结果表!H118</f>
        <v>991</v>
      </c>
      <c r="I4" s="846">
        <f ca="1">结果表!I118</f>
        <v>40531</v>
      </c>
    </row>
    <row r="5" spans="1:9" ht="30" customHeight="1">
      <c r="A5" s="3641" t="s">
        <v>927</v>
      </c>
      <c r="B5" s="3641"/>
      <c r="C5" s="3641"/>
      <c r="D5" s="3641" t="str">
        <f>结果表!D119</f>
        <v>零元整</v>
      </c>
      <c r="E5" s="3641"/>
      <c r="F5" s="3641" t="str">
        <f>结果表!F119</f>
        <v>零元整</v>
      </c>
      <c r="G5" s="3641"/>
      <c r="H5" s="3641" t="str">
        <f ca="1">结果表!H119</f>
        <v>玖佰玖拾壹万元整</v>
      </c>
      <c r="I5" s="3641"/>
    </row>
    <row r="6" spans="1:9" ht="15.75">
      <c r="A6" s="3640" t="str">
        <f>结果表!A120</f>
        <v>估价师知悉的法定优先受偿款</v>
      </c>
      <c r="B6" s="3640"/>
      <c r="C6" s="3640"/>
      <c r="D6" s="3640">
        <f>结果表!D120</f>
        <v>0</v>
      </c>
      <c r="E6" s="3640"/>
      <c r="F6" s="3640"/>
      <c r="G6" s="3640"/>
      <c r="H6" s="3640"/>
      <c r="I6" s="3640"/>
    </row>
    <row r="7" spans="1:9" ht="15">
      <c r="A7" s="3641" t="s">
        <v>927</v>
      </c>
      <c r="B7" s="3641"/>
      <c r="C7" s="3641"/>
      <c r="D7" s="3642" t="str">
        <f>结果表!D121</f>
        <v>零元整</v>
      </c>
      <c r="E7" s="3643"/>
      <c r="F7" s="3643"/>
      <c r="G7" s="3643"/>
      <c r="H7" s="3643"/>
      <c r="I7" s="3644"/>
    </row>
    <row r="8" spans="1:9" ht="15.75">
      <c r="A8" s="3640" t="str">
        <f>结果表!A122</f>
        <v>房地产抵押价值</v>
      </c>
      <c r="B8" s="3640"/>
      <c r="C8" s="3640"/>
      <c r="D8" s="3640">
        <f ca="1">结果表!D122</f>
        <v>991</v>
      </c>
      <c r="E8" s="3640"/>
      <c r="F8" s="3640"/>
      <c r="G8" s="3640"/>
      <c r="H8" s="3640"/>
      <c r="I8" s="3640"/>
    </row>
    <row r="9" spans="1:9" ht="15">
      <c r="A9" s="3641" t="s">
        <v>927</v>
      </c>
      <c r="B9" s="3641"/>
      <c r="C9" s="3641"/>
      <c r="D9" s="3641" t="str">
        <f ca="1">结果表!D123</f>
        <v>玖佰玖拾壹万元整</v>
      </c>
      <c r="E9" s="3641"/>
      <c r="F9" s="3641"/>
      <c r="G9" s="3641"/>
      <c r="H9" s="3641"/>
      <c r="I9" s="3641"/>
    </row>
    <row r="10" spans="1:9" ht="15.75">
      <c r="A10" s="3640" t="str">
        <f>结果表!A124</f>
        <v/>
      </c>
      <c r="B10" s="3640"/>
      <c r="C10" s="3640"/>
      <c r="D10" s="3640" t="str">
        <f>结果表!D124</f>
        <v>——</v>
      </c>
      <c r="E10" s="3640"/>
      <c r="F10" s="3640"/>
      <c r="G10" s="3640"/>
      <c r="H10" s="3640"/>
      <c r="I10" s="3640"/>
    </row>
    <row r="11" spans="1:9" ht="15">
      <c r="A11" s="3641" t="s">
        <v>927</v>
      </c>
      <c r="B11" s="3641"/>
      <c r="C11" s="3641"/>
      <c r="D11" s="3641" t="e">
        <f>结果表!D125</f>
        <v>#VALUE!</v>
      </c>
      <c r="E11" s="3641"/>
      <c r="F11" s="3641"/>
      <c r="G11" s="3641"/>
      <c r="H11" s="3641"/>
      <c r="I11" s="3641"/>
    </row>
    <row r="12" spans="1:9" ht="15.75">
      <c r="A12" s="3640" t="str">
        <f>结果表!A126</f>
        <v/>
      </c>
      <c r="B12" s="3640"/>
      <c r="C12" s="3640"/>
      <c r="D12" s="3640" t="str">
        <f>结果表!D126</f>
        <v>——</v>
      </c>
      <c r="E12" s="3640"/>
      <c r="F12" s="3640"/>
      <c r="G12" s="3640"/>
      <c r="H12" s="3640"/>
      <c r="I12" s="3640"/>
    </row>
    <row r="13" spans="1:9" ht="15.75" thickBot="1">
      <c r="A13" s="3638" t="s">
        <v>927</v>
      </c>
      <c r="B13" s="3638"/>
      <c r="C13" s="3638"/>
      <c r="D13" s="3638" t="e">
        <f>结果表!D127</f>
        <v>#VALUE!</v>
      </c>
      <c r="E13" s="3638"/>
      <c r="F13" s="3638"/>
      <c r="G13" s="3638"/>
      <c r="H13" s="3638"/>
      <c r="I13" s="3638"/>
    </row>
    <row r="14" spans="1:9" ht="15" thickTop="1">
      <c r="A14" s="3639" t="s">
        <v>932</v>
      </c>
      <c r="B14" s="3639"/>
      <c r="C14" s="3639"/>
      <c r="D14" s="3639"/>
      <c r="E14" s="3639"/>
      <c r="F14" s="3639"/>
      <c r="G14" s="3639"/>
      <c r="H14" s="3639"/>
      <c r="I14" s="3639"/>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0</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0</v>
      </c>
      <c r="N3" s="2719"/>
      <c r="O3" s="2719"/>
      <c r="P3" s="1157"/>
      <c r="Q3" s="694"/>
      <c r="R3" s="694"/>
      <c r="S3" s="694"/>
      <c r="T3" s="694"/>
      <c r="U3" s="694"/>
      <c r="V3" s="694"/>
      <c r="W3" s="694"/>
      <c r="X3" s="694"/>
      <c r="Y3" s="694"/>
      <c r="Z3" s="694"/>
      <c r="AA3" s="694"/>
      <c r="AB3" s="711"/>
      <c r="AC3" s="708"/>
    </row>
    <row r="4" spans="1:29" ht="15">
      <c r="A4" s="355" t="s">
        <v>1769</v>
      </c>
      <c r="B4" s="356"/>
      <c r="C4" s="3828" t="s">
        <v>1770</v>
      </c>
      <c r="D4" s="3829"/>
      <c r="E4" s="3830" t="s">
        <v>1771</v>
      </c>
      <c r="F4" s="3831"/>
      <c r="G4" s="3828" t="s">
        <v>1772</v>
      </c>
      <c r="H4" s="3829"/>
      <c r="I4" s="3828" t="s">
        <v>1773</v>
      </c>
      <c r="J4" s="3829"/>
      <c r="K4" s="556" t="s">
        <v>1774</v>
      </c>
      <c r="L4" s="2699"/>
      <c r="M4" s="2700"/>
      <c r="N4" s="2700"/>
      <c r="O4" s="2700"/>
      <c r="P4" s="3832" t="s">
        <v>1775</v>
      </c>
      <c r="Q4" s="3833"/>
      <c r="R4" s="3838" t="s">
        <v>1771</v>
      </c>
      <c r="S4" s="3839"/>
      <c r="T4" s="3838" t="s">
        <v>1772</v>
      </c>
      <c r="U4" s="3839"/>
      <c r="V4" s="3844" t="s">
        <v>1773</v>
      </c>
      <c r="W4" s="3844"/>
      <c r="X4" s="1347"/>
      <c r="Y4" s="3838" t="s">
        <v>1775</v>
      </c>
      <c r="Z4" s="3839"/>
      <c r="AA4" s="3825" t="s">
        <v>1771</v>
      </c>
      <c r="AB4" s="3826" t="s">
        <v>1772</v>
      </c>
      <c r="AC4" s="3825" t="s">
        <v>1773</v>
      </c>
    </row>
    <row r="5" spans="1:29" ht="15">
      <c r="A5" s="358"/>
      <c r="B5" s="359"/>
      <c r="C5" s="3852" t="s">
        <v>1673</v>
      </c>
      <c r="D5" s="3848"/>
      <c r="E5" s="3855" t="s">
        <v>4185</v>
      </c>
      <c r="F5" s="3856"/>
      <c r="G5" s="3847" t="s">
        <v>4191</v>
      </c>
      <c r="H5" s="3848"/>
      <c r="I5" s="3847" t="s">
        <v>4194</v>
      </c>
      <c r="J5" s="3848"/>
      <c r="K5" s="556"/>
      <c r="L5" s="2699"/>
      <c r="M5" s="2700"/>
      <c r="N5" s="2700"/>
      <c r="O5" s="2700"/>
      <c r="P5" s="3834"/>
      <c r="Q5" s="3835"/>
      <c r="R5" s="3840"/>
      <c r="S5" s="3841"/>
      <c r="T5" s="3840"/>
      <c r="U5" s="3841"/>
      <c r="V5" s="3844"/>
      <c r="W5" s="3844"/>
      <c r="X5" s="1347"/>
      <c r="Y5" s="3840"/>
      <c r="Z5" s="3841"/>
      <c r="AA5" s="3826"/>
      <c r="AB5" s="3826"/>
      <c r="AC5" s="3826"/>
    </row>
    <row r="6" spans="1:29" ht="15.75" thickBot="1">
      <c r="A6" s="360"/>
      <c r="B6" s="361"/>
      <c r="C6" s="3845" t="s">
        <v>1677</v>
      </c>
      <c r="D6" s="3846"/>
      <c r="E6" s="3853" t="s">
        <v>1677</v>
      </c>
      <c r="F6" s="3854"/>
      <c r="G6" s="3845" t="s">
        <v>1677</v>
      </c>
      <c r="H6" s="3846"/>
      <c r="I6" s="3845" t="s">
        <v>1677</v>
      </c>
      <c r="J6" s="3846"/>
      <c r="K6" s="556" t="s">
        <v>1678</v>
      </c>
      <c r="L6" s="2699"/>
      <c r="M6" s="2700"/>
      <c r="N6" s="2700"/>
      <c r="O6" s="2700"/>
      <c r="P6" s="3836"/>
      <c r="Q6" s="3837"/>
      <c r="R6" s="3840"/>
      <c r="S6" s="3841"/>
      <c r="T6" s="3842"/>
      <c r="U6" s="3843"/>
      <c r="V6" s="3844"/>
      <c r="W6" s="3844"/>
      <c r="X6" s="1347"/>
      <c r="Y6" s="3842"/>
      <c r="Z6" s="3843"/>
      <c r="AA6" s="3827"/>
      <c r="AB6" s="3827"/>
      <c r="AC6" s="3827"/>
    </row>
    <row r="7" spans="1:29" s="108" customFormat="1" ht="15.75" thickBot="1">
      <c r="A7" s="362" t="s">
        <v>1679</v>
      </c>
      <c r="B7" s="363"/>
      <c r="C7" s="364">
        <f>'数据-取费表'!B2</f>
        <v>45320</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49" t="s">
        <v>1680</v>
      </c>
      <c r="Q7" s="3851"/>
      <c r="R7" s="696" t="s">
        <v>14</v>
      </c>
      <c r="S7" s="697">
        <f t="shared" ref="S7:S14" si="0">F7</f>
        <v>100</v>
      </c>
      <c r="T7" s="696" t="s">
        <v>14</v>
      </c>
      <c r="U7" s="697">
        <f t="shared" ref="U7:U14" si="1">H7</f>
        <v>100</v>
      </c>
      <c r="V7" s="696" t="s">
        <v>14</v>
      </c>
      <c r="W7" s="697">
        <f t="shared" ref="W7:W14" si="2">J7</f>
        <v>100</v>
      </c>
      <c r="X7" s="698"/>
      <c r="Y7" s="3849" t="s">
        <v>1680</v>
      </c>
      <c r="Z7" s="3850"/>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49" t="s">
        <v>1683</v>
      </c>
      <c r="Q8" s="3850"/>
      <c r="R8" s="696" t="s">
        <v>14</v>
      </c>
      <c r="S8" s="697">
        <f t="shared" si="0"/>
        <v>100</v>
      </c>
      <c r="T8" s="696" t="s">
        <v>14</v>
      </c>
      <c r="U8" s="697">
        <f t="shared" si="1"/>
        <v>100</v>
      </c>
      <c r="V8" s="696" t="s">
        <v>14</v>
      </c>
      <c r="W8" s="697">
        <f t="shared" si="2"/>
        <v>100</v>
      </c>
      <c r="X8" s="698"/>
      <c r="Y8" s="3849" t="s">
        <v>1683</v>
      </c>
      <c r="Z8" s="3850"/>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13" t="s">
        <v>1686</v>
      </c>
      <c r="Q9" s="1335" t="str">
        <f t="shared" ref="Q9:Q14" si="6">B9</f>
        <v>用途</v>
      </c>
      <c r="R9" s="696" t="s">
        <v>14</v>
      </c>
      <c r="S9" s="697">
        <f t="shared" si="0"/>
        <v>100</v>
      </c>
      <c r="T9" s="696" t="s">
        <v>14</v>
      </c>
      <c r="U9" s="697">
        <f t="shared" si="1"/>
        <v>100</v>
      </c>
      <c r="V9" s="696" t="s">
        <v>14</v>
      </c>
      <c r="W9" s="697">
        <f t="shared" si="2"/>
        <v>100</v>
      </c>
      <c r="X9" s="698"/>
      <c r="Y9" s="3717"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13"/>
      <c r="Q10" s="1335" t="str">
        <f t="shared" si="6"/>
        <v>土地使用年限（年）</v>
      </c>
      <c r="R10" s="696" t="s">
        <v>14</v>
      </c>
      <c r="S10" s="697">
        <f t="shared" si="0"/>
        <v>100</v>
      </c>
      <c r="T10" s="696" t="s">
        <v>14</v>
      </c>
      <c r="U10" s="697">
        <f t="shared" si="1"/>
        <v>100</v>
      </c>
      <c r="V10" s="696" t="s">
        <v>14</v>
      </c>
      <c r="W10" s="697">
        <f t="shared" si="2"/>
        <v>100</v>
      </c>
      <c r="X10" s="698"/>
      <c r="Y10" s="3717"/>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13"/>
      <c r="Q11" s="1335">
        <f t="shared" si="6"/>
        <v>111</v>
      </c>
      <c r="R11" s="696" t="s">
        <v>14</v>
      </c>
      <c r="S11" s="697">
        <f t="shared" si="0"/>
        <v>100</v>
      </c>
      <c r="T11" s="696" t="s">
        <v>14</v>
      </c>
      <c r="U11" s="697">
        <f t="shared" si="1"/>
        <v>100</v>
      </c>
      <c r="V11" s="696" t="s">
        <v>14</v>
      </c>
      <c r="W11" s="697">
        <f t="shared" si="2"/>
        <v>100</v>
      </c>
      <c r="X11" s="698"/>
      <c r="Y11" s="3717"/>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13"/>
      <c r="Q12" s="1335">
        <f t="shared" si="6"/>
        <v>111</v>
      </c>
      <c r="R12" s="696" t="s">
        <v>14</v>
      </c>
      <c r="S12" s="697">
        <f t="shared" si="0"/>
        <v>100</v>
      </c>
      <c r="T12" s="696" t="s">
        <v>14</v>
      </c>
      <c r="U12" s="697">
        <f t="shared" si="1"/>
        <v>100</v>
      </c>
      <c r="V12" s="696" t="s">
        <v>14</v>
      </c>
      <c r="W12" s="697">
        <f t="shared" si="2"/>
        <v>100</v>
      </c>
      <c r="X12" s="698"/>
      <c r="Y12" s="3717"/>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13"/>
      <c r="Q13" s="1335">
        <f t="shared" si="6"/>
        <v>111</v>
      </c>
      <c r="R13" s="696" t="s">
        <v>14</v>
      </c>
      <c r="S13" s="697">
        <f t="shared" si="0"/>
        <v>100</v>
      </c>
      <c r="T13" s="696" t="s">
        <v>14</v>
      </c>
      <c r="U13" s="697">
        <f t="shared" si="1"/>
        <v>100</v>
      </c>
      <c r="V13" s="696" t="s">
        <v>14</v>
      </c>
      <c r="W13" s="697">
        <f t="shared" si="2"/>
        <v>100</v>
      </c>
      <c r="X13" s="698"/>
      <c r="Y13" s="3717"/>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15" t="s">
        <v>1691</v>
      </c>
      <c r="Q14" s="1344" t="str">
        <f t="shared" si="6"/>
        <v>交通便捷度</v>
      </c>
      <c r="R14" s="700" t="s">
        <v>14</v>
      </c>
      <c r="S14" s="701">
        <f t="shared" si="0"/>
        <v>100</v>
      </c>
      <c r="T14" s="700" t="s">
        <v>14</v>
      </c>
      <c r="U14" s="701">
        <f t="shared" si="1"/>
        <v>100</v>
      </c>
      <c r="V14" s="700" t="s">
        <v>14</v>
      </c>
      <c r="W14" s="701">
        <f t="shared" si="2"/>
        <v>100</v>
      </c>
      <c r="X14" s="1347"/>
      <c r="Y14" s="3815"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16"/>
      <c r="Q15" s="1344"/>
      <c r="R15" s="700"/>
      <c r="S15" s="701"/>
      <c r="T15" s="700"/>
      <c r="U15" s="701"/>
      <c r="V15" s="700"/>
      <c r="W15" s="701"/>
      <c r="X15" s="1347"/>
      <c r="Y15" s="3816"/>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16"/>
      <c r="Q16" s="1344" t="str">
        <f>B16</f>
        <v>公共配套设施</v>
      </c>
      <c r="R16" s="700" t="s">
        <v>14</v>
      </c>
      <c r="S16" s="701">
        <f>F16</f>
        <v>100</v>
      </c>
      <c r="T16" s="700" t="s">
        <v>14</v>
      </c>
      <c r="U16" s="701">
        <f>H16</f>
        <v>100</v>
      </c>
      <c r="V16" s="700" t="s">
        <v>14</v>
      </c>
      <c r="W16" s="701">
        <f>J16</f>
        <v>100</v>
      </c>
      <c r="X16" s="1347"/>
      <c r="Y16" s="3816"/>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16"/>
      <c r="Q17" s="1344"/>
      <c r="R17" s="700"/>
      <c r="S17" s="701"/>
      <c r="T17" s="700"/>
      <c r="U17" s="701"/>
      <c r="V17" s="700"/>
      <c r="W17" s="701"/>
      <c r="X17" s="1347"/>
      <c r="Y17" s="3816"/>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16"/>
      <c r="Q18" s="1344" t="str">
        <f>B18</f>
        <v>基础设施水平</v>
      </c>
      <c r="R18" s="700" t="s">
        <v>14</v>
      </c>
      <c r="S18" s="701">
        <f>F18</f>
        <v>100</v>
      </c>
      <c r="T18" s="700" t="s">
        <v>14</v>
      </c>
      <c r="U18" s="701">
        <f>H18</f>
        <v>100</v>
      </c>
      <c r="V18" s="700" t="s">
        <v>14</v>
      </c>
      <c r="W18" s="701">
        <f>J18</f>
        <v>100</v>
      </c>
      <c r="X18" s="1347"/>
      <c r="Y18" s="3816"/>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16"/>
      <c r="Q19" s="1344"/>
      <c r="R19" s="700"/>
      <c r="S19" s="701"/>
      <c r="T19" s="700"/>
      <c r="U19" s="701"/>
      <c r="V19" s="700"/>
      <c r="W19" s="701"/>
      <c r="X19" s="1347"/>
      <c r="Y19" s="3816"/>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16"/>
      <c r="Q20" s="1344" t="str">
        <f>B20</f>
        <v>自然及人文环境</v>
      </c>
      <c r="R20" s="700" t="s">
        <v>14</v>
      </c>
      <c r="S20" s="701">
        <f>F20</f>
        <v>98</v>
      </c>
      <c r="T20" s="700" t="s">
        <v>14</v>
      </c>
      <c r="U20" s="701">
        <f>H20</f>
        <v>98</v>
      </c>
      <c r="V20" s="700" t="s">
        <v>14</v>
      </c>
      <c r="W20" s="701">
        <f>J20</f>
        <v>100</v>
      </c>
      <c r="X20" s="1347"/>
      <c r="Y20" s="3816"/>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16"/>
      <c r="Q21" s="1344"/>
      <c r="R21" s="700"/>
      <c r="S21" s="701"/>
      <c r="T21" s="700"/>
      <c r="U21" s="701"/>
      <c r="V21" s="700"/>
      <c r="W21" s="701"/>
      <c r="X21" s="1347"/>
      <c r="Y21" s="3816"/>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16"/>
      <c r="Q22" s="1344" t="str">
        <f>B22</f>
        <v>楼层</v>
      </c>
      <c r="R22" s="700" t="s">
        <v>14</v>
      </c>
      <c r="S22" s="701">
        <f>F22</f>
        <v>100</v>
      </c>
      <c r="T22" s="700" t="s">
        <v>14</v>
      </c>
      <c r="U22" s="701">
        <f>H22</f>
        <v>100</v>
      </c>
      <c r="V22" s="700" t="s">
        <v>14</v>
      </c>
      <c r="W22" s="701">
        <f>J22</f>
        <v>100</v>
      </c>
      <c r="X22" s="1347"/>
      <c r="Y22" s="3816"/>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16"/>
      <c r="Q23" s="1344">
        <f>B23</f>
        <v>111</v>
      </c>
      <c r="R23" s="700" t="s">
        <v>14</v>
      </c>
      <c r="S23" s="701">
        <f>F23</f>
        <v>100</v>
      </c>
      <c r="T23" s="700" t="s">
        <v>14</v>
      </c>
      <c r="U23" s="701">
        <f>H23</f>
        <v>100</v>
      </c>
      <c r="V23" s="700" t="s">
        <v>14</v>
      </c>
      <c r="W23" s="701">
        <f>J23</f>
        <v>100</v>
      </c>
      <c r="X23" s="1347"/>
      <c r="Y23" s="3816"/>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16"/>
      <c r="Q24" s="1344">
        <f t="shared" ref="Q24:Q36" si="11">B24</f>
        <v>111</v>
      </c>
      <c r="R24" s="700" t="s">
        <v>14</v>
      </c>
      <c r="S24" s="701">
        <f>F24</f>
        <v>100</v>
      </c>
      <c r="T24" s="700" t="s">
        <v>14</v>
      </c>
      <c r="U24" s="701">
        <f>H24</f>
        <v>100</v>
      </c>
      <c r="V24" s="700" t="s">
        <v>14</v>
      </c>
      <c r="W24" s="701">
        <f>J24</f>
        <v>100</v>
      </c>
      <c r="X24" s="1347"/>
      <c r="Y24" s="3816"/>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16"/>
      <c r="Q25" s="1335">
        <f t="shared" si="11"/>
        <v>111</v>
      </c>
      <c r="R25" s="696" t="s">
        <v>14</v>
      </c>
      <c r="S25" s="697">
        <f>F25</f>
        <v>100</v>
      </c>
      <c r="T25" s="696" t="s">
        <v>14</v>
      </c>
      <c r="U25" s="697">
        <f>H25</f>
        <v>100</v>
      </c>
      <c r="V25" s="696" t="s">
        <v>14</v>
      </c>
      <c r="W25" s="697">
        <f>J25</f>
        <v>100</v>
      </c>
      <c r="X25" s="698"/>
      <c r="Y25" s="3816"/>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60"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20"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20"/>
      <c r="Q27" s="702" t="str">
        <f t="shared" si="11"/>
        <v>项目停车位配比</v>
      </c>
      <c r="R27" s="703" t="s">
        <v>14</v>
      </c>
      <c r="S27" s="704">
        <f t="shared" si="12"/>
        <v>100</v>
      </c>
      <c r="T27" s="703" t="s">
        <v>14</v>
      </c>
      <c r="U27" s="704">
        <f t="shared" si="13"/>
        <v>100</v>
      </c>
      <c r="V27" s="703" t="s">
        <v>14</v>
      </c>
      <c r="W27" s="704">
        <f t="shared" si="14"/>
        <v>100</v>
      </c>
      <c r="X27" s="705"/>
      <c r="Y27" s="3820"/>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20"/>
      <c r="Q28" s="1344" t="str">
        <f t="shared" si="11"/>
        <v>公共部分装修</v>
      </c>
      <c r="R28" s="700" t="s">
        <v>14</v>
      </c>
      <c r="S28" s="701">
        <f t="shared" si="12"/>
        <v>100</v>
      </c>
      <c r="T28" s="700" t="s">
        <v>14</v>
      </c>
      <c r="U28" s="701">
        <f t="shared" si="13"/>
        <v>100</v>
      </c>
      <c r="V28" s="700" t="s">
        <v>14</v>
      </c>
      <c r="W28" s="701">
        <f t="shared" si="14"/>
        <v>100</v>
      </c>
      <c r="X28" s="1347"/>
      <c r="Y28" s="3820"/>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20"/>
      <c r="Q29" s="1344" t="str">
        <f t="shared" si="11"/>
        <v>成新率</v>
      </c>
      <c r="R29" s="700" t="s">
        <v>14</v>
      </c>
      <c r="S29" s="701">
        <f t="shared" si="12"/>
        <v>100</v>
      </c>
      <c r="T29" s="700" t="s">
        <v>14</v>
      </c>
      <c r="U29" s="701">
        <f t="shared" si="13"/>
        <v>100</v>
      </c>
      <c r="V29" s="700" t="s">
        <v>14</v>
      </c>
      <c r="W29" s="701">
        <f t="shared" si="14"/>
        <v>100</v>
      </c>
      <c r="X29" s="1347"/>
      <c r="Y29" s="3820"/>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20"/>
      <c r="Q30" s="1344" t="str">
        <f t="shared" si="11"/>
        <v>物业等级</v>
      </c>
      <c r="R30" s="700" t="s">
        <v>14</v>
      </c>
      <c r="S30" s="701">
        <f t="shared" si="12"/>
        <v>100</v>
      </c>
      <c r="T30" s="700" t="s">
        <v>14</v>
      </c>
      <c r="U30" s="701">
        <f t="shared" si="13"/>
        <v>100</v>
      </c>
      <c r="V30" s="700" t="s">
        <v>14</v>
      </c>
      <c r="W30" s="701">
        <f t="shared" si="14"/>
        <v>100</v>
      </c>
      <c r="X30" s="1347"/>
      <c r="Y30" s="3820"/>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20"/>
      <c r="Q31" s="1335" t="str">
        <f t="shared" si="11"/>
        <v>停车位面积</v>
      </c>
      <c r="R31" s="696" t="s">
        <v>14</v>
      </c>
      <c r="S31" s="697">
        <f t="shared" si="12"/>
        <v>101</v>
      </c>
      <c r="T31" s="696" t="s">
        <v>14</v>
      </c>
      <c r="U31" s="697">
        <f t="shared" si="13"/>
        <v>102</v>
      </c>
      <c r="V31" s="696" t="s">
        <v>14</v>
      </c>
      <c r="W31" s="697">
        <f t="shared" si="14"/>
        <v>100</v>
      </c>
      <c r="X31" s="698"/>
      <c r="Y31" s="3820"/>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20" t="s">
        <v>1696</v>
      </c>
      <c r="Q32" s="1344" t="str">
        <f t="shared" si="11"/>
        <v>车位类型</v>
      </c>
      <c r="R32" s="700" t="s">
        <v>14</v>
      </c>
      <c r="S32" s="701">
        <f t="shared" si="12"/>
        <v>100</v>
      </c>
      <c r="T32" s="700" t="s">
        <v>14</v>
      </c>
      <c r="U32" s="701">
        <f t="shared" si="13"/>
        <v>100</v>
      </c>
      <c r="V32" s="700" t="s">
        <v>14</v>
      </c>
      <c r="W32" s="701">
        <f t="shared" si="14"/>
        <v>100</v>
      </c>
      <c r="X32" s="1347"/>
      <c r="Y32" s="3820"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20"/>
      <c r="Q33" s="1344" t="str">
        <f t="shared" si="11"/>
        <v>是否直接入户</v>
      </c>
      <c r="R33" s="700" t="s">
        <v>14</v>
      </c>
      <c r="S33" s="701">
        <f t="shared" si="12"/>
        <v>100</v>
      </c>
      <c r="T33" s="700" t="s">
        <v>14</v>
      </c>
      <c r="U33" s="701">
        <f t="shared" si="13"/>
        <v>100</v>
      </c>
      <c r="V33" s="700" t="s">
        <v>14</v>
      </c>
      <c r="W33" s="701">
        <f t="shared" si="14"/>
        <v>100</v>
      </c>
      <c r="X33" s="1347"/>
      <c r="Y33" s="3820"/>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20"/>
      <c r="Q34" s="1344">
        <f t="shared" si="11"/>
        <v>111</v>
      </c>
      <c r="R34" s="700" t="s">
        <v>14</v>
      </c>
      <c r="S34" s="701">
        <f t="shared" si="12"/>
        <v>100</v>
      </c>
      <c r="T34" s="700" t="s">
        <v>14</v>
      </c>
      <c r="U34" s="701">
        <f t="shared" si="13"/>
        <v>100</v>
      </c>
      <c r="V34" s="700" t="s">
        <v>14</v>
      </c>
      <c r="W34" s="701">
        <f t="shared" si="14"/>
        <v>100</v>
      </c>
      <c r="X34" s="1347"/>
      <c r="Y34" s="3820"/>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20"/>
      <c r="Q35" s="702">
        <f t="shared" si="11"/>
        <v>111</v>
      </c>
      <c r="R35" s="703" t="s">
        <v>14</v>
      </c>
      <c r="S35" s="704">
        <f t="shared" si="12"/>
        <v>100</v>
      </c>
      <c r="T35" s="703" t="s">
        <v>14</v>
      </c>
      <c r="U35" s="704">
        <f t="shared" si="13"/>
        <v>100</v>
      </c>
      <c r="V35" s="703" t="s">
        <v>14</v>
      </c>
      <c r="W35" s="704">
        <f t="shared" si="14"/>
        <v>100</v>
      </c>
      <c r="X35" s="705"/>
      <c r="Y35" s="3820"/>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20"/>
      <c r="Q36" s="1344">
        <f t="shared" si="11"/>
        <v>111</v>
      </c>
      <c r="R36" s="700" t="s">
        <v>14</v>
      </c>
      <c r="S36" s="701">
        <f t="shared" si="12"/>
        <v>100</v>
      </c>
      <c r="T36" s="700" t="s">
        <v>14</v>
      </c>
      <c r="U36" s="701">
        <f t="shared" si="13"/>
        <v>100</v>
      </c>
      <c r="V36" s="700" t="s">
        <v>14</v>
      </c>
      <c r="W36" s="701">
        <f t="shared" si="14"/>
        <v>100</v>
      </c>
      <c r="X36" s="1347"/>
      <c r="Y36" s="3820"/>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13" t="str">
        <f>A37</f>
        <v>成交单价</v>
      </c>
      <c r="Q37" s="3813"/>
      <c r="R37" s="3814">
        <f>E37</f>
        <v>5020</v>
      </c>
      <c r="S37" s="3814"/>
      <c r="T37" s="3814">
        <f>G37</f>
        <v>4645</v>
      </c>
      <c r="U37" s="3814"/>
      <c r="V37" s="3814">
        <f>I37</f>
        <v>4527</v>
      </c>
      <c r="W37" s="3814"/>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813" t="str">
        <f>A38</f>
        <v>比较价值（元/平方米）</v>
      </c>
      <c r="Q38" s="3813"/>
      <c r="R38" s="3814">
        <f>IF(F1="售价",ROUND(PRODUCT(R37,AA7:AA36),0),ROUND(PRODUCT(R37,AA7:AA36),1))</f>
        <v>5175</v>
      </c>
      <c r="S38" s="3814"/>
      <c r="T38" s="3814">
        <f>IF(F1="售价",ROUND(PRODUCT(T37,AB7:AB36),0),ROUND(PRODUCT(T37,AB7:AB36),1))</f>
        <v>4742</v>
      </c>
      <c r="U38" s="3814"/>
      <c r="V38" s="3814">
        <f>IF(F1="售价",ROUND(PRODUCT(V37,AC7:AC36),0),ROUND(PRODUCT(V37,AC7:AC36),1))</f>
        <v>4527</v>
      </c>
      <c r="W38" s="3814"/>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810" t="str">
        <f>A39</f>
        <v>估价对象XX用房的比较价值（楼面单价，元/平方米）</v>
      </c>
      <c r="Q39" s="3811"/>
      <c r="R39" s="3936">
        <f>IF(F1="售价",ROUND(IF(D38="简单平均",AVERAGE(R38:W38),R38*F38+T38*H38+V38*J38),0),ROUND(IF(D38="简单平均",AVERAGE(R38:V38),R38*F38+T38*H38+V38*J38),1))</f>
        <v>4815</v>
      </c>
      <c r="S39" s="3936"/>
      <c r="T39" s="3936"/>
      <c r="U39" s="3936"/>
      <c r="V39" s="3936"/>
      <c r="W39" s="3936"/>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2024-1</v>
      </c>
      <c r="D48" s="1177">
        <f>EDATE(C48,-1)</f>
        <v>45261</v>
      </c>
      <c r="E48" s="1177">
        <f t="shared" ref="E48:O48" si="16">EDATE(D48,-1)</f>
        <v>45231</v>
      </c>
      <c r="F48" s="1177">
        <f t="shared" si="16"/>
        <v>45200</v>
      </c>
      <c r="G48" s="1177">
        <f t="shared" si="16"/>
        <v>45170</v>
      </c>
      <c r="H48" s="1177">
        <f t="shared" si="16"/>
        <v>45139</v>
      </c>
      <c r="I48" s="1177">
        <f t="shared" si="16"/>
        <v>45108</v>
      </c>
      <c r="J48" s="1177">
        <f t="shared" si="16"/>
        <v>45078</v>
      </c>
      <c r="K48" s="1177">
        <f t="shared" si="16"/>
        <v>45047</v>
      </c>
      <c r="L48" s="1177">
        <f t="shared" si="16"/>
        <v>45017</v>
      </c>
      <c r="M48" s="1177">
        <f t="shared" si="16"/>
        <v>44986</v>
      </c>
      <c r="N48" s="1177">
        <f t="shared" si="16"/>
        <v>44958</v>
      </c>
      <c r="O48" s="1177">
        <f t="shared" si="16"/>
        <v>44927</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5" priority="18" stopIfTrue="1" operator="containsText" text="超过">
      <formula>NOT(ISERROR(SEARCH("超过",F42)))</formula>
    </cfRule>
  </conditionalFormatting>
  <conditionalFormatting sqref="J44">
    <cfRule type="containsText" dxfId="24" priority="17" stopIfTrue="1" operator="containsText" text="超过">
      <formula>NOT(ISERROR(SEARCH("超过",J44)))</formula>
    </cfRule>
  </conditionalFormatting>
  <conditionalFormatting sqref="H44">
    <cfRule type="containsText" dxfId="23" priority="16" stopIfTrue="1" operator="containsText" text="超过">
      <formula>NOT(ISERROR(SEARCH("超过",H44)))</formula>
    </cfRule>
  </conditionalFormatting>
  <conditionalFormatting sqref="F44">
    <cfRule type="containsText" dxfId="22" priority="15" stopIfTrue="1" operator="containsText" text="超过">
      <formula>NOT(ISERROR(SEARCH("超过",F44)))</formula>
    </cfRule>
  </conditionalFormatting>
  <conditionalFormatting sqref="F43 H43 J43">
    <cfRule type="containsText" dxfId="21" priority="14" stopIfTrue="1" operator="containsText" text="超过">
      <formula>NOT(ISERROR(SEARCH("超过",F43)))</formula>
    </cfRule>
  </conditionalFormatting>
  <conditionalFormatting sqref="E42">
    <cfRule type="expression" dxfId="20" priority="13" stopIfTrue="1">
      <formula>$F$42="超过30%"</formula>
    </cfRule>
  </conditionalFormatting>
  <conditionalFormatting sqref="G44">
    <cfRule type="expression" dxfId="19" priority="12" stopIfTrue="1">
      <formula>$H$54+$H$44="超过30%"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G42">
    <cfRule type="expression" dxfId="16" priority="9" stopIfTrue="1">
      <formula>$H$52+$H$42="超过30%"</formula>
    </cfRule>
  </conditionalFormatting>
  <conditionalFormatting sqref="G43">
    <cfRule type="expression" dxfId="15" priority="8" stopIfTrue="1">
      <formula>$H$43="超过20%"</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F38">
    <cfRule type="expression" dxfId="11" priority="4">
      <formula>$D$38="简单平均"</formula>
    </cfRule>
  </conditionalFormatting>
  <conditionalFormatting sqref="H38">
    <cfRule type="expression" dxfId="10" priority="3">
      <formula>$D$38="简单平均"</formula>
    </cfRule>
  </conditionalFormatting>
  <conditionalFormatting sqref="J38">
    <cfRule type="expression" dxfId="9" priority="2">
      <formula>$D$38="简单平均"</formula>
    </cfRule>
  </conditionalFormatting>
  <conditionalFormatting sqref="F7:F36 H7:H36 J7:J36">
    <cfRule type="cellIs" dxfId="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23" sqref="K2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40.96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t="e">
        <f ca="1">ROUND(D2/10000,4)</f>
        <v>#DIV/0!</v>
      </c>
      <c r="C2" s="1379" t="s">
        <v>879</v>
      </c>
      <c r="D2" s="1463" t="e">
        <f ca="1">C40+J29+L46</f>
        <v>#DIV/0!</v>
      </c>
      <c r="E2" s="1380" t="s">
        <v>880</v>
      </c>
      <c r="F2" s="1381"/>
      <c r="G2" s="2690"/>
      <c r="H2" s="2679"/>
      <c r="I2" s="2679"/>
      <c r="J2" s="2679"/>
      <c r="K2" s="2680"/>
      <c r="L2" s="2679"/>
      <c r="M2" s="2679"/>
    </row>
    <row r="3" spans="1:37" ht="18" customHeight="1" thickBot="1">
      <c r="A3" s="1382" t="s">
        <v>881</v>
      </c>
      <c r="B3" s="1383">
        <f ca="1">IF(ISERROR(D2/F43),0,ROUND(D2/F43,0))</f>
        <v>0</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67" t="s">
        <v>694</v>
      </c>
      <c r="C6" s="1066">
        <f ca="1">ROUND(F6*F8*F7*(1-F9),0)</f>
        <v>12960</v>
      </c>
      <c r="D6" s="155" t="s">
        <v>2105</v>
      </c>
      <c r="E6" s="302" t="s">
        <v>696</v>
      </c>
      <c r="F6" s="303">
        <f ca="1">INDIRECT("'数据-取费表'!u"&amp;$G$1)</f>
        <v>1200</v>
      </c>
      <c r="G6" s="1376"/>
      <c r="H6" s="1061" t="s">
        <v>398</v>
      </c>
      <c r="I6" s="3867" t="s">
        <v>694</v>
      </c>
      <c r="J6" s="301">
        <f ca="1">ROUND(M6*M8*M7*(1-M9),0)</f>
        <v>0</v>
      </c>
      <c r="K6" s="1368" t="s">
        <v>2106</v>
      </c>
      <c r="L6" s="302" t="s">
        <v>696</v>
      </c>
      <c r="M6" s="303">
        <f ca="1">INDIRECT("'数据-取费表'!z"&amp;$G$1)</f>
        <v>0</v>
      </c>
    </row>
    <row r="7" spans="1:37" ht="18" customHeight="1">
      <c r="A7" s="1065"/>
      <c r="B7" s="3868"/>
      <c r="C7" s="1067"/>
      <c r="D7" s="307"/>
      <c r="E7" s="1068" t="s">
        <v>697</v>
      </c>
      <c r="F7" s="303">
        <f ca="1">IF(INDIRECT("'数据-取费表'!ah"&amp;$G$1)="",INDIRECT("'数据-取费表'!k"&amp;$G$1),INDIRECT("'数据-取费表'!ah"&amp;$G$1))</f>
        <v>1</v>
      </c>
      <c r="G7" s="1376"/>
      <c r="H7" s="304"/>
      <c r="I7" s="3868"/>
      <c r="J7" s="306"/>
      <c r="K7" s="307"/>
      <c r="L7" s="302" t="s">
        <v>697</v>
      </c>
      <c r="M7" s="303">
        <f ca="1">F7</f>
        <v>1</v>
      </c>
    </row>
    <row r="8" spans="1:37" ht="18" customHeight="1">
      <c r="A8" s="304"/>
      <c r="B8" s="3868"/>
      <c r="C8" s="306"/>
      <c r="D8" s="307"/>
      <c r="E8" s="302" t="s">
        <v>698</v>
      </c>
      <c r="F8" s="303">
        <f ca="1">INDIRECT("'数据-取费表'!ai"&amp;$G$1)</f>
        <v>12</v>
      </c>
      <c r="G8" s="1376"/>
      <c r="H8" s="304"/>
      <c r="I8" s="3868"/>
      <c r="J8" s="306"/>
      <c r="K8" s="307"/>
      <c r="L8" s="302" t="s">
        <v>698</v>
      </c>
      <c r="M8" s="303">
        <f ca="1">INDIRECT("'数据-取费表'!ai"&amp;$G$1)</f>
        <v>12</v>
      </c>
    </row>
    <row r="9" spans="1:37" ht="18" customHeight="1">
      <c r="A9" s="304"/>
      <c r="B9" s="3869"/>
      <c r="C9" s="306"/>
      <c r="D9" s="307"/>
      <c r="E9" s="302" t="s">
        <v>699</v>
      </c>
      <c r="F9" s="312">
        <f ca="1">INDIRECT("'数据-取费表'!w"&amp;$G$1)</f>
        <v>0.1</v>
      </c>
      <c r="G9" s="1376"/>
      <c r="H9" s="304"/>
      <c r="I9" s="3869"/>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0</v>
      </c>
      <c r="D13" s="1073" t="s">
        <v>705</v>
      </c>
      <c r="E13" s="1073" t="s">
        <v>706</v>
      </c>
      <c r="F13" s="1074">
        <f ca="1">INDIRECT("'数据-取费表'!y"&amp;$G$1)</f>
        <v>0</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0</v>
      </c>
      <c r="D14" s="1337" t="s">
        <v>708</v>
      </c>
      <c r="E14" s="1334"/>
      <c r="F14" s="319"/>
      <c r="G14" s="1376"/>
      <c r="H14" s="974" t="s">
        <v>398</v>
      </c>
      <c r="I14" s="302" t="s">
        <v>709</v>
      </c>
      <c r="J14" s="21">
        <f ca="1">C29</f>
        <v>0</v>
      </c>
      <c r="K14" s="12"/>
      <c r="L14" s="799"/>
      <c r="M14" s="800"/>
    </row>
    <row r="15" spans="1:37" s="1389" customFormat="1" ht="18" customHeight="1" thickBot="1">
      <c r="A15" s="974" t="s">
        <v>399</v>
      </c>
      <c r="B15" s="302" t="s">
        <v>710</v>
      </c>
      <c r="C15" s="21">
        <f ca="1">ROUND(C14*F15,0)</f>
        <v>0</v>
      </c>
      <c r="D15" s="320" t="s">
        <v>711</v>
      </c>
      <c r="E15" s="320" t="s">
        <v>712</v>
      </c>
      <c r="F15" s="321">
        <f>'数据-取费表'!B33</f>
        <v>0.05</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0</v>
      </c>
      <c r="K16" s="1079" t="s">
        <v>715</v>
      </c>
      <c r="L16" s="1080"/>
      <c r="M16" s="1064"/>
    </row>
    <row r="17" spans="1:37" s="1389" customFormat="1" ht="18" customHeight="1">
      <c r="A17" s="974" t="s">
        <v>681</v>
      </c>
      <c r="B17" s="302" t="s">
        <v>716</v>
      </c>
      <c r="C17" s="21">
        <f ca="1">ROUND(F17*(F43+INDIRECT("'数据-取费表'!S"&amp;$G$1)),0)</f>
        <v>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0</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0</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0</v>
      </c>
      <c r="K22" s="1336" t="s">
        <v>739</v>
      </c>
      <c r="L22" s="302" t="s">
        <v>712</v>
      </c>
      <c r="M22" s="328">
        <f ca="1">INDIRECT("'数据-取费表'!Ak"&amp;$G$1)</f>
        <v>5.0000000000000001E-3</v>
      </c>
    </row>
    <row r="23" spans="1:37" s="1389" customFormat="1" ht="18" customHeight="1">
      <c r="A23" s="974"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88"/>
      <c r="H23" s="974"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0</v>
      </c>
      <c r="K25" s="1087" t="s">
        <v>753</v>
      </c>
      <c r="L25" s="1088"/>
      <c r="M25" s="1089"/>
    </row>
    <row r="26" spans="1:37" ht="18" customHeight="1">
      <c r="A26" s="974"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4"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0</v>
      </c>
      <c r="D29" s="1084"/>
      <c r="E29" s="1082"/>
      <c r="F29" s="1085"/>
      <c r="G29" s="1388"/>
      <c r="H29" s="334" t="s">
        <v>396</v>
      </c>
      <c r="I29" s="335" t="s">
        <v>768</v>
      </c>
      <c r="J29" s="336">
        <f ca="1">ROUND(J26/(1+F40)^F41,0)</f>
        <v>0</v>
      </c>
      <c r="K29" s="337" t="s">
        <v>769</v>
      </c>
      <c r="L29" s="338"/>
      <c r="M29" s="339">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2237</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0</v>
      </c>
      <c r="D36" s="1336" t="s">
        <v>771</v>
      </c>
      <c r="E36" s="302" t="s">
        <v>712</v>
      </c>
      <c r="F36" s="328">
        <f ca="1">INDIRECT("'数据-取费表'!Ak"&amp;$G$1)</f>
        <v>5.0000000000000001E-3</v>
      </c>
      <c r="G36" s="1376"/>
      <c r="H36" s="2684"/>
      <c r="I36" s="1390"/>
      <c r="J36" s="1391"/>
      <c r="K36" s="2529"/>
      <c r="L36" s="2684"/>
      <c r="M36" s="2684"/>
    </row>
    <row r="37" spans="1:18" ht="18" customHeight="1">
      <c r="A37" s="974" t="s">
        <v>437</v>
      </c>
      <c r="B37" s="302" t="s">
        <v>742</v>
      </c>
      <c r="C37" s="21">
        <f ca="1">ROUND(C13*F37,0)</f>
        <v>0</v>
      </c>
      <c r="D37" s="1336" t="s">
        <v>743</v>
      </c>
      <c r="E37" s="302" t="s">
        <v>744</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65</v>
      </c>
      <c r="D38" s="1084" t="s">
        <v>748</v>
      </c>
      <c r="E38" s="1082" t="s">
        <v>744</v>
      </c>
      <c r="F38" s="1078">
        <f ca="1">INDIRECT("'数据-取费表'!Am"&amp;$G$1)</f>
        <v>5.0000000000000001E-3</v>
      </c>
      <c r="G38" s="1376"/>
      <c r="H38" s="2684"/>
      <c r="I38" s="1390"/>
      <c r="J38" s="1391"/>
      <c r="K38" s="2688"/>
      <c r="L38" s="2684"/>
      <c r="M38" s="2684"/>
    </row>
    <row r="39" spans="1:18" ht="24.6" customHeight="1" thickTop="1">
      <c r="A39" s="1071" t="s">
        <v>394</v>
      </c>
      <c r="B39" s="1086" t="s">
        <v>772</v>
      </c>
      <c r="C39" s="310">
        <f ca="1">C5-C30</f>
        <v>10723</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40.96</v>
      </c>
      <c r="G41" s="1376"/>
      <c r="H41" s="1183"/>
      <c r="I41" s="1390"/>
      <c r="J41" s="1391"/>
      <c r="K41" s="2529"/>
      <c r="L41" s="1183"/>
      <c r="M41" s="1183"/>
    </row>
    <row r="42" spans="1:18" ht="18" customHeight="1">
      <c r="A42" s="308"/>
      <c r="B42" s="309"/>
      <c r="C42" s="310"/>
      <c r="D42" s="327"/>
      <c r="E42" s="302" t="s">
        <v>766</v>
      </c>
      <c r="F42" s="312">
        <f ca="1">INDIRECT("'数据-取费表'!v"&amp;$G$1)</f>
        <v>0</v>
      </c>
      <c r="G42" s="1376"/>
      <c r="H42" s="1183"/>
      <c r="I42" s="1390"/>
      <c r="J42" s="1391"/>
      <c r="K42" s="2529"/>
      <c r="L42" s="1183"/>
      <c r="M42" s="1183"/>
    </row>
    <row r="43" spans="1:18" ht="18" customHeight="1" thickBot="1">
      <c r="A43" s="334" t="s">
        <v>396</v>
      </c>
      <c r="B43" s="335" t="s">
        <v>776</v>
      </c>
      <c r="C43" s="336" t="e">
        <f ca="1">ROUND(C40/F43,0)</f>
        <v>#DIV/0!</v>
      </c>
      <c r="D43" s="337" t="s">
        <v>777</v>
      </c>
      <c r="E43" s="338" t="s">
        <v>778</v>
      </c>
      <c r="F43" s="339">
        <f ca="1">INDIRECT("'数据-取费表'!k"&amp;$G$1)</f>
        <v>0</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t="e">
        <f ca="1">ROUND((C68-C40)/10000,4)</f>
        <v>#DIV/0!</v>
      </c>
      <c r="D45" s="3415" t="s">
        <v>3354</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f ca="1">IF(M47="住宅",0,IF(L48&gt;J51,L60,J60))</f>
        <v>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t="e">
        <f ca="1">C40+J29</f>
        <v>#DIV/0!</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40.96</v>
      </c>
      <c r="O48" s="1410" t="s">
        <v>404</v>
      </c>
      <c r="P48" s="1411" t="s">
        <v>821</v>
      </c>
      <c r="Q48" s="1412">
        <f ca="1">J60</f>
        <v>0</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0</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57</v>
      </c>
      <c r="K51" s="1426" t="s">
        <v>830</v>
      </c>
      <c r="L51" s="1427">
        <f ca="1">ROUND(-PV(INDIRECT("'数据-取费表'!h"&amp;$G$1),J51,(C39-C13*C76),0),0)</f>
        <v>611211</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40.96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40.96</v>
      </c>
      <c r="K53" s="3865" t="s">
        <v>837</v>
      </c>
      <c r="L53" s="3866"/>
      <c r="O53" s="1410" t="s">
        <v>409</v>
      </c>
      <c r="P53" s="1411" t="s">
        <v>838</v>
      </c>
      <c r="Q53" s="1412" t="e">
        <f ca="1">Q47+Q48</f>
        <v>#DIV/0!</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0.26700000000000002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0</v>
      </c>
      <c r="D56" s="1439"/>
      <c r="E56" s="1440"/>
      <c r="F56" s="1432"/>
      <c r="I56" s="1441" t="s">
        <v>842</v>
      </c>
      <c r="J56" s="1442" t="s">
        <v>3387</v>
      </c>
      <c r="K56" s="1413" t="s">
        <v>843</v>
      </c>
      <c r="L56" s="1416" t="str">
        <f ca="1">IF(L48&lt;J51,"——",L48-J51)</f>
        <v>——</v>
      </c>
      <c r="O56" s="1410" t="s">
        <v>403</v>
      </c>
      <c r="P56" s="1411" t="s">
        <v>817</v>
      </c>
      <c r="Q56" s="1412" t="e">
        <f ca="1">C40+J29</f>
        <v>#DIV/0!</v>
      </c>
      <c r="R56" s="1412" t="s">
        <v>818</v>
      </c>
    </row>
    <row r="57" spans="1:18" s="1376" customFormat="1" ht="24.75" thickBot="1">
      <c r="A57" s="1443"/>
      <c r="B57" s="942" t="s">
        <v>767</v>
      </c>
      <c r="C57" s="238">
        <f ca="1">C29</f>
        <v>0</v>
      </c>
      <c r="D57" s="1444"/>
      <c r="E57" s="1445"/>
      <c r="F57" s="1446"/>
      <c r="I57" s="1447" t="s">
        <v>844</v>
      </c>
      <c r="J57" s="1448">
        <f ca="1">IF(OR(M47="住宅",J51&lt;L48,J56="是"),"——",J51-L48)</f>
        <v>16.04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12</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0</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0</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0</v>
      </c>
      <c r="D64" s="956" t="s">
        <v>791</v>
      </c>
      <c r="E64" s="942" t="s">
        <v>783</v>
      </c>
      <c r="F64" s="328">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0</v>
      </c>
      <c r="D65" s="956" t="s">
        <v>743</v>
      </c>
      <c r="E65" s="942" t="s">
        <v>744</v>
      </c>
      <c r="F65" s="330">
        <f t="shared" ca="1" si="0"/>
        <v>1E-3</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4" t="s">
        <v>793</v>
      </c>
      <c r="B66" s="942" t="s">
        <v>728</v>
      </c>
      <c r="C66" s="21">
        <f ca="1">ROUND(C48*F66,0)</f>
        <v>0</v>
      </c>
      <c r="D66" s="956" t="s">
        <v>794</v>
      </c>
      <c r="E66" s="942" t="s">
        <v>712</v>
      </c>
      <c r="F66" s="312">
        <f t="shared" ca="1" si="0"/>
        <v>5.0000000000000001E-3</v>
      </c>
      <c r="O66" s="1410" t="s">
        <v>404</v>
      </c>
      <c r="P66" s="1411" t="s">
        <v>846</v>
      </c>
      <c r="Q66" s="1412">
        <f ca="1">L60</f>
        <v>0</v>
      </c>
      <c r="R66" s="1412" t="s">
        <v>869</v>
      </c>
    </row>
    <row r="67" spans="1:18" s="1376" customFormat="1" ht="16.5" thickBot="1">
      <c r="A67" s="949" t="s">
        <v>394</v>
      </c>
      <c r="B67" s="959" t="s">
        <v>752</v>
      </c>
      <c r="C67" s="316">
        <f ca="1">C48-C58</f>
        <v>-12</v>
      </c>
      <c r="D67" s="955" t="s">
        <v>753</v>
      </c>
      <c r="E67" s="960"/>
      <c r="F67" s="961"/>
      <c r="O67" s="1420" t="s">
        <v>405</v>
      </c>
      <c r="P67" s="1411" t="s">
        <v>850</v>
      </c>
      <c r="Q67" s="1458">
        <f ca="1">L51</f>
        <v>611211</v>
      </c>
      <c r="R67" s="1412" t="s">
        <v>870</v>
      </c>
    </row>
    <row r="68" spans="1:18" s="1376" customFormat="1" ht="16.5" thickBot="1">
      <c r="A68" s="939" t="s">
        <v>395</v>
      </c>
      <c r="B68" s="940" t="s">
        <v>774</v>
      </c>
      <c r="C68" s="301" t="e">
        <f ca="1">ROUND(C67*(1-((1+F70)/(1+F68))^F69)/(F68-F70),0)</f>
        <v>#DIV/0!</v>
      </c>
      <c r="D68" s="957" t="s">
        <v>758</v>
      </c>
      <c r="E68" s="942" t="s">
        <v>759</v>
      </c>
      <c r="F68" s="312">
        <f ca="1">F40</f>
        <v>0</v>
      </c>
      <c r="O68" s="1420" t="s">
        <v>406</v>
      </c>
      <c r="P68" s="1459" t="s">
        <v>871</v>
      </c>
      <c r="Q68" s="1412">
        <f ca="1">ROUND(Q69-Q70*Q71,0)</f>
        <v>10723</v>
      </c>
      <c r="R68" s="1412" t="s">
        <v>414</v>
      </c>
    </row>
    <row r="69" spans="1:18" s="1376" customFormat="1" ht="13.5" thickBot="1">
      <c r="A69" s="943"/>
      <c r="B69" s="944"/>
      <c r="C69" s="306"/>
      <c r="D69" s="962" t="s">
        <v>762</v>
      </c>
      <c r="E69" s="942" t="s">
        <v>763</v>
      </c>
      <c r="F69" s="333">
        <f ca="1">F41</f>
        <v>40.96</v>
      </c>
      <c r="O69" s="1420" t="s">
        <v>411</v>
      </c>
      <c r="P69" s="1459" t="s">
        <v>872</v>
      </c>
      <c r="Q69" s="1412">
        <f ca="1">C39</f>
        <v>10723</v>
      </c>
      <c r="R69" s="1412" t="s">
        <v>818</v>
      </c>
    </row>
    <row r="70" spans="1:18" s="1376" customFormat="1" ht="13.5" thickBot="1">
      <c r="A70" s="946"/>
      <c r="B70" s="947"/>
      <c r="C70" s="310"/>
      <c r="D70" s="958"/>
      <c r="E70" s="942" t="s">
        <v>766</v>
      </c>
      <c r="F70" s="1046"/>
      <c r="O70" s="1420" t="s">
        <v>412</v>
      </c>
      <c r="P70" s="1459" t="s">
        <v>873</v>
      </c>
      <c r="Q70" s="1412">
        <f ca="1">C13</f>
        <v>0</v>
      </c>
      <c r="R70" s="1412" t="s">
        <v>818</v>
      </c>
    </row>
    <row r="71" spans="1:18" s="1376" customFormat="1" ht="13.5" thickBot="1">
      <c r="A71" s="963" t="s">
        <v>396</v>
      </c>
      <c r="B71" s="964" t="s">
        <v>776</v>
      </c>
      <c r="C71" s="336" t="e">
        <f ca="1">ROUND(C68/F71,0)</f>
        <v>#DIV/0!</v>
      </c>
      <c r="D71" s="965" t="s">
        <v>777</v>
      </c>
      <c r="E71" s="966" t="s">
        <v>778</v>
      </c>
      <c r="F71" s="339">
        <f ca="1">F43</f>
        <v>0</v>
      </c>
      <c r="O71" s="1420" t="s">
        <v>413</v>
      </c>
      <c r="P71" s="1459" t="s">
        <v>874</v>
      </c>
      <c r="Q71" s="1423">
        <f ca="1">C76</f>
        <v>0</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K23" sqref="K23"/>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4288</v>
      </c>
      <c r="G1" s="3466" t="s">
        <v>3443</v>
      </c>
      <c r="H1" s="3465" t="s">
        <v>3444</v>
      </c>
      <c r="I1" s="3547" t="s">
        <v>4289</v>
      </c>
    </row>
    <row r="2" spans="1:17" s="3529" customFormat="1">
      <c r="A2" s="3915">
        <v>1</v>
      </c>
      <c r="B2" s="3897" t="s">
        <v>3523</v>
      </c>
      <c r="C2" s="3897" t="s">
        <v>4290</v>
      </c>
      <c r="D2" s="3898" t="s">
        <v>3525</v>
      </c>
      <c r="E2" s="3530">
        <v>101</v>
      </c>
      <c r="F2" s="3528">
        <v>275.55</v>
      </c>
      <c r="G2" s="3528">
        <v>50.16</v>
      </c>
      <c r="H2" s="3531" t="s">
        <v>673</v>
      </c>
      <c r="I2" s="3548">
        <v>1247</v>
      </c>
    </row>
    <row r="3" spans="1:17" s="3472" customFormat="1">
      <c r="A3" s="3916"/>
      <c r="B3" s="3897"/>
      <c r="C3" s="3897"/>
      <c r="D3" s="3898"/>
      <c r="E3" s="3505">
        <v>102</v>
      </c>
      <c r="F3" s="3516">
        <v>369.34</v>
      </c>
      <c r="G3" s="3469">
        <v>67.23</v>
      </c>
      <c r="H3" s="3557" t="s">
        <v>673</v>
      </c>
      <c r="I3" s="3549">
        <v>1655</v>
      </c>
    </row>
    <row r="4" spans="1:17" s="3529" customFormat="1">
      <c r="A4" s="3916"/>
      <c r="B4" s="3897"/>
      <c r="C4" s="3897"/>
      <c r="D4" s="3898"/>
      <c r="E4" s="3530">
        <v>201</v>
      </c>
      <c r="F4" s="3528">
        <v>1146.95</v>
      </c>
      <c r="G4" s="3528">
        <v>208.77</v>
      </c>
      <c r="H4" s="3531" t="s">
        <v>21</v>
      </c>
      <c r="I4" s="3548">
        <v>3115</v>
      </c>
    </row>
    <row r="5" spans="1:17" s="3472" customFormat="1">
      <c r="A5" s="3916"/>
      <c r="B5" s="3897"/>
      <c r="C5" s="3897"/>
      <c r="D5" s="3898"/>
      <c r="E5" s="3505">
        <v>301</v>
      </c>
      <c r="F5" s="3516">
        <v>1117.0999999999999</v>
      </c>
      <c r="G5" s="3469">
        <v>203.34</v>
      </c>
      <c r="H5" s="3557" t="s">
        <v>21</v>
      </c>
      <c r="I5" s="3549">
        <v>3034</v>
      </c>
    </row>
    <row r="6" spans="1:17" s="3472" customFormat="1">
      <c r="A6" s="3916"/>
      <c r="B6" s="3897"/>
      <c r="C6" s="3897"/>
      <c r="D6" s="3898"/>
      <c r="E6" s="3505">
        <v>401</v>
      </c>
      <c r="F6" s="3516">
        <v>1112.98</v>
      </c>
      <c r="G6" s="3469">
        <v>202.59</v>
      </c>
      <c r="H6" s="3557" t="s">
        <v>21</v>
      </c>
      <c r="I6" s="3549">
        <v>3023</v>
      </c>
      <c r="M6" s="3526" t="s">
        <v>4291</v>
      </c>
      <c r="N6" s="3527">
        <v>12877.269999999999</v>
      </c>
    </row>
    <row r="7" spans="1:17" s="3472" customFormat="1">
      <c r="A7" s="3917"/>
      <c r="B7" s="3897"/>
      <c r="C7" s="3897"/>
      <c r="D7" s="3898"/>
      <c r="E7" s="3505">
        <v>501</v>
      </c>
      <c r="F7" s="3516">
        <v>1946.09</v>
      </c>
      <c r="G7" s="3469">
        <v>354.23</v>
      </c>
      <c r="H7" s="3557" t="s">
        <v>21</v>
      </c>
      <c r="I7" s="3549">
        <v>5259</v>
      </c>
      <c r="M7" s="3526" t="s">
        <v>4292</v>
      </c>
      <c r="N7" s="3527">
        <v>97797.649999999892</v>
      </c>
    </row>
    <row r="8" spans="1:17" s="3472" customFormat="1">
      <c r="A8" s="3902" t="s">
        <v>3526</v>
      </c>
      <c r="B8" s="3902"/>
      <c r="C8" s="3902"/>
      <c r="D8" s="3902"/>
      <c r="E8" s="3902"/>
      <c r="F8" s="3520">
        <v>5968.01</v>
      </c>
      <c r="G8" s="3466">
        <v>1086.3200000000002</v>
      </c>
      <c r="H8" s="3506" t="s">
        <v>4293</v>
      </c>
      <c r="I8" s="3550">
        <v>17333</v>
      </c>
      <c r="M8" s="3526" t="s">
        <v>4294</v>
      </c>
      <c r="N8" s="3527">
        <v>4786.87</v>
      </c>
    </row>
    <row r="9" spans="1:17" s="3472" customFormat="1">
      <c r="A9" s="3915">
        <v>3</v>
      </c>
      <c r="B9" s="3897" t="s">
        <v>3528</v>
      </c>
      <c r="C9" s="3897" t="s">
        <v>3529</v>
      </c>
      <c r="D9" s="3908" t="s">
        <v>3450</v>
      </c>
      <c r="E9" s="3505">
        <v>-107</v>
      </c>
      <c r="F9" s="3516">
        <v>307.95</v>
      </c>
      <c r="G9" s="3469">
        <v>56.05</v>
      </c>
      <c r="H9" s="3557" t="s">
        <v>673</v>
      </c>
      <c r="I9" s="3549">
        <v>609</v>
      </c>
      <c r="M9" s="3526" t="s">
        <v>4295</v>
      </c>
      <c r="N9" s="3527">
        <v>35896.760000000184</v>
      </c>
    </row>
    <row r="10" spans="1:17" s="3472" customFormat="1">
      <c r="A10" s="3916"/>
      <c r="B10" s="3897"/>
      <c r="C10" s="3897"/>
      <c r="D10" s="3909"/>
      <c r="E10" s="3468">
        <v>101</v>
      </c>
      <c r="F10" s="3516">
        <v>400.49</v>
      </c>
      <c r="G10" s="3469">
        <v>72.900000000000006</v>
      </c>
      <c r="H10" s="3557" t="s">
        <v>673</v>
      </c>
      <c r="I10" s="3549">
        <v>1636</v>
      </c>
      <c r="M10" s="3526" t="s">
        <v>4296</v>
      </c>
      <c r="N10" s="3527">
        <v>151358.55000000008</v>
      </c>
    </row>
    <row r="11" spans="1:17" s="3472" customFormat="1">
      <c r="A11" s="3916"/>
      <c r="B11" s="3897"/>
      <c r="C11" s="3897"/>
      <c r="D11" s="3909"/>
      <c r="E11" s="3468">
        <v>102</v>
      </c>
      <c r="F11" s="3516">
        <v>84.52</v>
      </c>
      <c r="G11" s="3469">
        <v>15.38</v>
      </c>
      <c r="H11" s="3557" t="s">
        <v>673</v>
      </c>
      <c r="I11" s="3549">
        <v>356</v>
      </c>
      <c r="M11" s="3526"/>
      <c r="N11" s="3527">
        <v>-35.380000000121072</v>
      </c>
    </row>
    <row r="12" spans="1:17" s="3472" customFormat="1">
      <c r="A12" s="3917"/>
      <c r="B12" s="3897"/>
      <c r="C12" s="3897"/>
      <c r="D12" s="3919"/>
      <c r="E12" s="3468">
        <v>103</v>
      </c>
      <c r="F12" s="3516">
        <v>147.1</v>
      </c>
      <c r="G12" s="3469">
        <v>26.78</v>
      </c>
      <c r="H12" s="3557" t="s">
        <v>673</v>
      </c>
      <c r="I12" s="3549">
        <v>613</v>
      </c>
    </row>
    <row r="13" spans="1:17" s="3472" customFormat="1" ht="14.25" thickBot="1">
      <c r="A13" s="3912" t="s">
        <v>3526</v>
      </c>
      <c r="B13" s="3913"/>
      <c r="C13" s="3913"/>
      <c r="D13" s="3913"/>
      <c r="E13" s="3914"/>
      <c r="F13" s="3520">
        <v>940.06000000000006</v>
      </c>
      <c r="G13" s="3466">
        <v>171.10999999999999</v>
      </c>
      <c r="H13" s="3506" t="s">
        <v>4293</v>
      </c>
      <c r="I13" s="3550">
        <v>3214</v>
      </c>
    </row>
    <row r="14" spans="1:17" s="3472" customFormat="1" ht="14.25" thickTop="1">
      <c r="A14" s="3915">
        <v>4</v>
      </c>
      <c r="B14" s="3897" t="s">
        <v>3530</v>
      </c>
      <c r="C14" s="3897" t="s">
        <v>3531</v>
      </c>
      <c r="D14" s="3898" t="s">
        <v>3532</v>
      </c>
      <c r="E14" s="3507" t="s">
        <v>3533</v>
      </c>
      <c r="F14" s="3521">
        <v>678.59</v>
      </c>
      <c r="G14" s="3471">
        <v>123.52</v>
      </c>
      <c r="H14" s="3557" t="s">
        <v>21</v>
      </c>
      <c r="I14" s="3549">
        <v>1852</v>
      </c>
      <c r="M14" s="3596" t="s">
        <v>3437</v>
      </c>
      <c r="N14" s="3597" t="s">
        <v>4253</v>
      </c>
      <c r="O14" s="3597" t="s">
        <v>4254</v>
      </c>
      <c r="P14" s="3597" t="s">
        <v>4255</v>
      </c>
      <c r="Q14" s="3598" t="s">
        <v>4256</v>
      </c>
    </row>
    <row r="15" spans="1:17" s="3472" customFormat="1">
      <c r="A15" s="3916"/>
      <c r="B15" s="3897"/>
      <c r="C15" s="3897"/>
      <c r="D15" s="3898"/>
      <c r="E15" s="3507" t="s">
        <v>3534</v>
      </c>
      <c r="F15" s="3521">
        <v>678.47</v>
      </c>
      <c r="G15" s="3471">
        <v>123.5</v>
      </c>
      <c r="H15" s="3557" t="s">
        <v>21</v>
      </c>
      <c r="I15" s="3549">
        <v>1852</v>
      </c>
      <c r="M15" s="3599">
        <v>1</v>
      </c>
      <c r="N15" s="3600" t="s">
        <v>4257</v>
      </c>
      <c r="O15" s="3600" t="s">
        <v>4258</v>
      </c>
      <c r="P15" s="3600">
        <v>5968.01</v>
      </c>
      <c r="Q15" s="3601">
        <v>17333</v>
      </c>
    </row>
    <row r="16" spans="1:17" s="3472" customFormat="1">
      <c r="A16" s="3916"/>
      <c r="B16" s="3897"/>
      <c r="C16" s="3897"/>
      <c r="D16" s="3898"/>
      <c r="E16" s="3507" t="s">
        <v>3535</v>
      </c>
      <c r="F16" s="3521">
        <v>725.7</v>
      </c>
      <c r="G16" s="3471">
        <v>132.1</v>
      </c>
      <c r="H16" s="3557" t="s">
        <v>21</v>
      </c>
      <c r="I16" s="3549">
        <v>1981</v>
      </c>
      <c r="M16" s="3599">
        <v>2</v>
      </c>
      <c r="N16" s="3600" t="s">
        <v>4259</v>
      </c>
      <c r="O16" s="3600" t="s">
        <v>4260</v>
      </c>
      <c r="P16" s="3600">
        <v>197.22</v>
      </c>
      <c r="Q16" s="3602">
        <v>951</v>
      </c>
    </row>
    <row r="17" spans="1:17" s="3472" customFormat="1">
      <c r="A17" s="3916"/>
      <c r="B17" s="3897"/>
      <c r="C17" s="3897"/>
      <c r="D17" s="3898"/>
      <c r="E17" s="3507" t="s">
        <v>3536</v>
      </c>
      <c r="F17" s="3521">
        <v>725.7</v>
      </c>
      <c r="G17" s="3471">
        <v>132.1</v>
      </c>
      <c r="H17" s="3557" t="s">
        <v>21</v>
      </c>
      <c r="I17" s="3549">
        <v>1981</v>
      </c>
      <c r="M17" s="3599">
        <v>3</v>
      </c>
      <c r="N17" s="3600" t="s">
        <v>4261</v>
      </c>
      <c r="O17" s="3600" t="s">
        <v>4262</v>
      </c>
      <c r="P17" s="3600">
        <v>940.06</v>
      </c>
      <c r="Q17" s="3601">
        <v>3214</v>
      </c>
    </row>
    <row r="18" spans="1:17" s="3472" customFormat="1">
      <c r="A18" s="3916"/>
      <c r="B18" s="3897"/>
      <c r="C18" s="3897"/>
      <c r="D18" s="3898"/>
      <c r="E18" s="3507" t="s">
        <v>3537</v>
      </c>
      <c r="F18" s="3521">
        <v>725.7</v>
      </c>
      <c r="G18" s="3471">
        <v>132.1</v>
      </c>
      <c r="H18" s="3557" t="s">
        <v>21</v>
      </c>
      <c r="I18" s="3549">
        <v>1981</v>
      </c>
      <c r="M18" s="3599">
        <v>4</v>
      </c>
      <c r="N18" s="3600" t="s">
        <v>4263</v>
      </c>
      <c r="O18" s="3600" t="s">
        <v>4264</v>
      </c>
      <c r="P18" s="3600">
        <v>17672.919999999998</v>
      </c>
      <c r="Q18" s="3601">
        <v>50898</v>
      </c>
    </row>
    <row r="19" spans="1:17" s="3472" customFormat="1">
      <c r="A19" s="3916"/>
      <c r="B19" s="3897"/>
      <c r="C19" s="3897"/>
      <c r="D19" s="3898"/>
      <c r="E19" s="3507" t="s">
        <v>3538</v>
      </c>
      <c r="F19" s="3521">
        <v>725.7</v>
      </c>
      <c r="G19" s="3471">
        <v>132.1</v>
      </c>
      <c r="H19" s="3557" t="s">
        <v>21</v>
      </c>
      <c r="I19" s="3549">
        <v>2040</v>
      </c>
      <c r="M19" s="3599">
        <v>5</v>
      </c>
      <c r="N19" s="3600" t="s">
        <v>4265</v>
      </c>
      <c r="O19" s="3600" t="s">
        <v>4266</v>
      </c>
      <c r="P19" s="3600">
        <v>32.36</v>
      </c>
      <c r="Q19" s="3603">
        <v>37</v>
      </c>
    </row>
    <row r="20" spans="1:17" s="3472" customFormat="1">
      <c r="A20" s="3916"/>
      <c r="B20" s="3897"/>
      <c r="C20" s="3897"/>
      <c r="D20" s="3898"/>
      <c r="E20" s="3507" t="s">
        <v>3539</v>
      </c>
      <c r="F20" s="3521">
        <v>725.7</v>
      </c>
      <c r="G20" s="3471">
        <v>132.1</v>
      </c>
      <c r="H20" s="3557" t="s">
        <v>21</v>
      </c>
      <c r="I20" s="3549">
        <v>2040</v>
      </c>
      <c r="M20" s="3599">
        <v>6</v>
      </c>
      <c r="N20" s="3600" t="s">
        <v>4267</v>
      </c>
      <c r="O20" s="3600" t="s">
        <v>4268</v>
      </c>
      <c r="P20" s="3600">
        <v>12420.37</v>
      </c>
      <c r="Q20" s="3603">
        <v>6523</v>
      </c>
    </row>
    <row r="21" spans="1:17" s="3472" customFormat="1">
      <c r="A21" s="3916"/>
      <c r="B21" s="3897"/>
      <c r="C21" s="3897"/>
      <c r="D21" s="3898"/>
      <c r="E21" s="3507" t="s">
        <v>3540</v>
      </c>
      <c r="F21" s="3521">
        <v>897.24</v>
      </c>
      <c r="G21" s="3471">
        <v>163.32</v>
      </c>
      <c r="H21" s="3557" t="s">
        <v>21</v>
      </c>
      <c r="I21" s="3549">
        <v>2449</v>
      </c>
      <c r="M21" s="3599">
        <v>7</v>
      </c>
      <c r="N21" s="3600" t="s">
        <v>4269</v>
      </c>
      <c r="O21" s="3600" t="s">
        <v>4270</v>
      </c>
      <c r="P21" s="3600">
        <v>12229.45</v>
      </c>
      <c r="Q21" s="3603">
        <v>35208</v>
      </c>
    </row>
    <row r="22" spans="1:17" s="3472" customFormat="1">
      <c r="A22" s="3916"/>
      <c r="B22" s="3897"/>
      <c r="C22" s="3897"/>
      <c r="D22" s="3898"/>
      <c r="E22" s="3507" t="s">
        <v>3541</v>
      </c>
      <c r="F22" s="3521">
        <v>922.92</v>
      </c>
      <c r="G22" s="3471">
        <v>168</v>
      </c>
      <c r="H22" s="3557" t="s">
        <v>21</v>
      </c>
      <c r="I22" s="3549">
        <v>2519</v>
      </c>
      <c r="M22" s="3599">
        <v>8</v>
      </c>
      <c r="N22" s="3600" t="s">
        <v>4271</v>
      </c>
      <c r="O22" s="3600" t="s">
        <v>4272</v>
      </c>
      <c r="P22" s="3600">
        <v>45459.64</v>
      </c>
      <c r="Q22" s="3603">
        <v>131600</v>
      </c>
    </row>
    <row r="23" spans="1:17" s="3472" customFormat="1">
      <c r="A23" s="3916"/>
      <c r="B23" s="3897"/>
      <c r="C23" s="3897"/>
      <c r="D23" s="3898"/>
      <c r="E23" s="3507" t="s">
        <v>3542</v>
      </c>
      <c r="F23" s="3521">
        <v>922.92</v>
      </c>
      <c r="G23" s="3471">
        <v>167.99</v>
      </c>
      <c r="H23" s="3557" t="s">
        <v>21</v>
      </c>
      <c r="I23" s="3549">
        <v>2519</v>
      </c>
      <c r="M23" s="3599">
        <v>9</v>
      </c>
      <c r="N23" s="3600" t="s">
        <v>4273</v>
      </c>
      <c r="O23" s="3600" t="s">
        <v>4274</v>
      </c>
      <c r="P23" s="3600">
        <v>792.39</v>
      </c>
      <c r="Q23" s="3601">
        <v>3382</v>
      </c>
    </row>
    <row r="24" spans="1:17" s="3472" customFormat="1">
      <c r="A24" s="3916"/>
      <c r="B24" s="3897"/>
      <c r="C24" s="3897"/>
      <c r="D24" s="3898"/>
      <c r="E24" s="3507" t="s">
        <v>3543</v>
      </c>
      <c r="F24" s="3521">
        <v>922.92</v>
      </c>
      <c r="G24" s="3471">
        <v>167.99</v>
      </c>
      <c r="H24" s="3557" t="s">
        <v>21</v>
      </c>
      <c r="I24" s="3549">
        <v>2519</v>
      </c>
      <c r="M24" s="3599">
        <v>10</v>
      </c>
      <c r="N24" s="3600" t="s">
        <v>4275</v>
      </c>
      <c r="O24" s="3600" t="s">
        <v>4276</v>
      </c>
      <c r="P24" s="3600">
        <v>2375.11</v>
      </c>
      <c r="Q24" s="3603">
        <v>6616</v>
      </c>
    </row>
    <row r="25" spans="1:17" s="3472" customFormat="1">
      <c r="A25" s="3916"/>
      <c r="B25" s="3897"/>
      <c r="C25" s="3897"/>
      <c r="D25" s="3898"/>
      <c r="E25" s="3507" t="s">
        <v>3544</v>
      </c>
      <c r="F25" s="3521">
        <v>922.92</v>
      </c>
      <c r="G25" s="3471">
        <v>167.99</v>
      </c>
      <c r="H25" s="3557" t="s">
        <v>21</v>
      </c>
      <c r="I25" s="3549">
        <v>2595</v>
      </c>
      <c r="M25" s="3599">
        <v>11</v>
      </c>
      <c r="N25" s="3600" t="s">
        <v>4277</v>
      </c>
      <c r="O25" s="3600" t="s">
        <v>4278</v>
      </c>
      <c r="P25" s="3600">
        <v>521.41</v>
      </c>
      <c r="Q25" s="3601">
        <v>1863</v>
      </c>
    </row>
    <row r="26" spans="1:17" s="3472" customFormat="1">
      <c r="A26" s="3916"/>
      <c r="B26" s="3897"/>
      <c r="C26" s="3897"/>
      <c r="D26" s="3898"/>
      <c r="E26" s="3507" t="s">
        <v>3545</v>
      </c>
      <c r="F26" s="3521">
        <v>922.92</v>
      </c>
      <c r="G26" s="3471">
        <v>167.99</v>
      </c>
      <c r="H26" s="3557" t="s">
        <v>21</v>
      </c>
      <c r="I26" s="3549">
        <v>2595</v>
      </c>
      <c r="M26" s="3599">
        <v>12</v>
      </c>
      <c r="N26" s="3600" t="s">
        <v>4279</v>
      </c>
      <c r="O26" s="3600" t="s">
        <v>4280</v>
      </c>
      <c r="P26" s="3600">
        <v>26029.73</v>
      </c>
      <c r="Q26" s="3603">
        <v>73835</v>
      </c>
    </row>
    <row r="27" spans="1:17" s="3472" customFormat="1">
      <c r="A27" s="3916"/>
      <c r="B27" s="3897"/>
      <c r="C27" s="3897"/>
      <c r="D27" s="3898"/>
      <c r="E27" s="3507" t="s">
        <v>3546</v>
      </c>
      <c r="F27" s="3521">
        <v>922.92</v>
      </c>
      <c r="G27" s="3471">
        <v>167.99</v>
      </c>
      <c r="H27" s="3557" t="s">
        <v>21</v>
      </c>
      <c r="I27" s="3549">
        <v>2595</v>
      </c>
      <c r="M27" s="3599">
        <v>13</v>
      </c>
      <c r="N27" s="3600" t="s">
        <v>4281</v>
      </c>
      <c r="O27" s="3600" t="s">
        <v>4282</v>
      </c>
      <c r="P27" s="3600">
        <v>28298.639999999999</v>
      </c>
      <c r="Q27" s="3601">
        <v>19334</v>
      </c>
    </row>
    <row r="28" spans="1:17" s="3472" customFormat="1" ht="14.25" thickBot="1">
      <c r="A28" s="3916"/>
      <c r="B28" s="3897"/>
      <c r="C28" s="3897"/>
      <c r="D28" s="3898"/>
      <c r="E28" s="3507" t="s">
        <v>3547</v>
      </c>
      <c r="F28" s="3521">
        <v>922.92</v>
      </c>
      <c r="G28" s="3471">
        <v>167.99</v>
      </c>
      <c r="H28" s="3557" t="s">
        <v>21</v>
      </c>
      <c r="I28" s="3549">
        <v>2595</v>
      </c>
      <c r="M28" s="3992" t="s">
        <v>3526</v>
      </c>
      <c r="N28" s="3993"/>
      <c r="O28" s="3994"/>
      <c r="P28" s="3604">
        <v>152937.31</v>
      </c>
      <c r="Q28" s="3604">
        <v>350794</v>
      </c>
    </row>
    <row r="29" spans="1:17" s="3472" customFormat="1" ht="14.25" thickTop="1">
      <c r="A29" s="3916"/>
      <c r="B29" s="3897"/>
      <c r="C29" s="3897"/>
      <c r="D29" s="3898"/>
      <c r="E29" s="3507" t="s">
        <v>3548</v>
      </c>
      <c r="F29" s="3521">
        <v>922.92</v>
      </c>
      <c r="G29" s="3471">
        <v>167.99</v>
      </c>
      <c r="H29" s="3557" t="s">
        <v>21</v>
      </c>
      <c r="I29" s="3549">
        <v>2595</v>
      </c>
    </row>
    <row r="30" spans="1:17" s="3472" customFormat="1">
      <c r="A30" s="3916"/>
      <c r="B30" s="3897"/>
      <c r="C30" s="3897"/>
      <c r="D30" s="3898"/>
      <c r="E30" s="3507" t="s">
        <v>3549</v>
      </c>
      <c r="F30" s="3521">
        <v>922.92</v>
      </c>
      <c r="G30" s="3471">
        <v>167.99</v>
      </c>
      <c r="H30" s="3557" t="s">
        <v>21</v>
      </c>
      <c r="I30" s="3549">
        <v>2670</v>
      </c>
    </row>
    <row r="31" spans="1:17" s="3472" customFormat="1">
      <c r="A31" s="3916"/>
      <c r="B31" s="3897"/>
      <c r="C31" s="3897"/>
      <c r="D31" s="3898"/>
      <c r="E31" s="3507" t="s">
        <v>3550</v>
      </c>
      <c r="F31" s="3521">
        <v>922.92</v>
      </c>
      <c r="G31" s="3471">
        <v>167.99</v>
      </c>
      <c r="H31" s="3557" t="s">
        <v>21</v>
      </c>
      <c r="I31" s="3549">
        <v>2670</v>
      </c>
    </row>
    <row r="32" spans="1:17" s="3472" customFormat="1">
      <c r="A32" s="3916"/>
      <c r="B32" s="3897"/>
      <c r="C32" s="3897"/>
      <c r="D32" s="3898"/>
      <c r="E32" s="3507" t="s">
        <v>3551</v>
      </c>
      <c r="F32" s="3521">
        <v>922.92</v>
      </c>
      <c r="G32" s="3471">
        <v>167.99</v>
      </c>
      <c r="H32" s="3557" t="s">
        <v>21</v>
      </c>
      <c r="I32" s="3549">
        <v>2670</v>
      </c>
    </row>
    <row r="33" spans="1:9" s="3472" customFormat="1">
      <c r="A33" s="3916"/>
      <c r="B33" s="3897"/>
      <c r="C33" s="3897"/>
      <c r="D33" s="3898"/>
      <c r="E33" s="3508">
        <v>101</v>
      </c>
      <c r="F33" s="3521">
        <v>250.94</v>
      </c>
      <c r="G33" s="3471">
        <v>45.68</v>
      </c>
      <c r="H33" s="3557" t="s">
        <v>673</v>
      </c>
      <c r="I33" s="3549">
        <v>1170</v>
      </c>
    </row>
    <row r="34" spans="1:9" s="3472" customFormat="1">
      <c r="A34" s="3916"/>
      <c r="B34" s="3897"/>
      <c r="C34" s="3897"/>
      <c r="D34" s="3898"/>
      <c r="E34" s="3508">
        <v>102</v>
      </c>
      <c r="F34" s="3521">
        <v>189.91</v>
      </c>
      <c r="G34" s="3471">
        <v>34.57</v>
      </c>
      <c r="H34" s="3557" t="s">
        <v>673</v>
      </c>
      <c r="I34" s="3549">
        <v>894</v>
      </c>
    </row>
    <row r="35" spans="1:9" s="3472" customFormat="1">
      <c r="A35" s="3916"/>
      <c r="B35" s="3897"/>
      <c r="C35" s="3897"/>
      <c r="D35" s="3898"/>
      <c r="E35" s="3508">
        <v>202</v>
      </c>
      <c r="F35" s="3521">
        <v>434.02</v>
      </c>
      <c r="G35" s="3471">
        <v>79</v>
      </c>
      <c r="H35" s="3557" t="s">
        <v>673</v>
      </c>
      <c r="I35" s="3549">
        <v>1502</v>
      </c>
    </row>
    <row r="36" spans="1:9" s="3472" customFormat="1">
      <c r="A36" s="3917"/>
      <c r="B36" s="3897"/>
      <c r="C36" s="3897"/>
      <c r="D36" s="3898"/>
      <c r="E36" s="3508">
        <v>203</v>
      </c>
      <c r="F36" s="3521">
        <v>763.13</v>
      </c>
      <c r="G36" s="3471">
        <v>138.91</v>
      </c>
      <c r="H36" s="3557" t="s">
        <v>673</v>
      </c>
      <c r="I36" s="3549">
        <v>2614</v>
      </c>
    </row>
    <row r="37" spans="1:9" s="3472" customFormat="1">
      <c r="A37" s="3902" t="s">
        <v>3526</v>
      </c>
      <c r="B37" s="3902"/>
      <c r="C37" s="3902"/>
      <c r="D37" s="3902"/>
      <c r="E37" s="3902"/>
      <c r="F37" s="3520">
        <v>17672.920000000002</v>
      </c>
      <c r="G37" s="3466">
        <v>3216.8999999999987</v>
      </c>
      <c r="H37" s="3506" t="s">
        <v>4293</v>
      </c>
      <c r="I37" s="3550">
        <v>50898</v>
      </c>
    </row>
    <row r="38" spans="1:9" s="3517" customFormat="1">
      <c r="A38" s="3915">
        <v>6</v>
      </c>
      <c r="B38" s="3906" t="s">
        <v>3553</v>
      </c>
      <c r="C38" s="3897" t="s">
        <v>3554</v>
      </c>
      <c r="D38" s="3920" t="s">
        <v>3555</v>
      </c>
      <c r="E38" s="3605" t="s">
        <v>3556</v>
      </c>
      <c r="F38" s="3516">
        <v>44.95</v>
      </c>
      <c r="G38" s="3469">
        <v>8.19</v>
      </c>
      <c r="H38" s="3470" t="s">
        <v>3557</v>
      </c>
      <c r="I38" s="3549">
        <v>19</v>
      </c>
    </row>
    <row r="39" spans="1:9" s="3472" customFormat="1">
      <c r="A39" s="3916"/>
      <c r="B39" s="3907"/>
      <c r="C39" s="3897"/>
      <c r="D39" s="3920"/>
      <c r="E39" s="3605" t="s">
        <v>3558</v>
      </c>
      <c r="F39" s="3516">
        <v>44.95</v>
      </c>
      <c r="G39" s="3469">
        <v>8.19</v>
      </c>
      <c r="H39" s="3470" t="s">
        <v>3557</v>
      </c>
      <c r="I39" s="3549">
        <v>19</v>
      </c>
    </row>
    <row r="40" spans="1:9" s="3472" customFormat="1">
      <c r="A40" s="3916"/>
      <c r="B40" s="3907"/>
      <c r="C40" s="3897"/>
      <c r="D40" s="3920"/>
      <c r="E40" s="3605" t="s">
        <v>3559</v>
      </c>
      <c r="F40" s="3516">
        <v>44.95</v>
      </c>
      <c r="G40" s="3469">
        <v>8.19</v>
      </c>
      <c r="H40" s="3470" t="s">
        <v>3557</v>
      </c>
      <c r="I40" s="3549">
        <v>19</v>
      </c>
    </row>
    <row r="41" spans="1:9" s="3472" customFormat="1">
      <c r="A41" s="3916"/>
      <c r="B41" s="3907"/>
      <c r="C41" s="3897"/>
      <c r="D41" s="3920"/>
      <c r="E41" s="3605" t="s">
        <v>3560</v>
      </c>
      <c r="F41" s="3516">
        <v>44.95</v>
      </c>
      <c r="G41" s="3469">
        <v>8.19</v>
      </c>
      <c r="H41" s="3470" t="s">
        <v>3557</v>
      </c>
      <c r="I41" s="3549">
        <v>19</v>
      </c>
    </row>
    <row r="42" spans="1:9" s="3472" customFormat="1">
      <c r="A42" s="3916"/>
      <c r="B42" s="3907"/>
      <c r="C42" s="3897"/>
      <c r="D42" s="3920"/>
      <c r="E42" s="3605" t="s">
        <v>3561</v>
      </c>
      <c r="F42" s="3516">
        <v>44.95</v>
      </c>
      <c r="G42" s="3469">
        <v>8.19</v>
      </c>
      <c r="H42" s="3470" t="s">
        <v>3557</v>
      </c>
      <c r="I42" s="3549">
        <v>19</v>
      </c>
    </row>
    <row r="43" spans="1:9" s="3472" customFormat="1">
      <c r="A43" s="3916"/>
      <c r="B43" s="3907"/>
      <c r="C43" s="3897"/>
      <c r="D43" s="3920"/>
      <c r="E43" s="3605" t="s">
        <v>3562</v>
      </c>
      <c r="F43" s="3516">
        <v>44.95</v>
      </c>
      <c r="G43" s="3469">
        <v>8.19</v>
      </c>
      <c r="H43" s="3470" t="s">
        <v>3557</v>
      </c>
      <c r="I43" s="3549">
        <v>19</v>
      </c>
    </row>
    <row r="44" spans="1:9" s="3472" customFormat="1">
      <c r="A44" s="3916"/>
      <c r="B44" s="3907"/>
      <c r="C44" s="3897"/>
      <c r="D44" s="3920"/>
      <c r="E44" s="3605" t="s">
        <v>3563</v>
      </c>
      <c r="F44" s="3516">
        <v>44.95</v>
      </c>
      <c r="G44" s="3469">
        <v>8.19</v>
      </c>
      <c r="H44" s="3470" t="s">
        <v>3557</v>
      </c>
      <c r="I44" s="3549">
        <v>19</v>
      </c>
    </row>
    <row r="45" spans="1:9" s="3472" customFormat="1">
      <c r="A45" s="3916"/>
      <c r="B45" s="3907"/>
      <c r="C45" s="3897"/>
      <c r="D45" s="3920"/>
      <c r="E45" s="3605" t="s">
        <v>3564</v>
      </c>
      <c r="F45" s="3516">
        <v>44.95</v>
      </c>
      <c r="G45" s="3469">
        <v>8.19</v>
      </c>
      <c r="H45" s="3470" t="s">
        <v>3557</v>
      </c>
      <c r="I45" s="3549">
        <v>19</v>
      </c>
    </row>
    <row r="46" spans="1:9" s="3472" customFormat="1">
      <c r="A46" s="3916"/>
      <c r="B46" s="3907"/>
      <c r="C46" s="3897"/>
      <c r="D46" s="3920"/>
      <c r="E46" s="3605" t="s">
        <v>3565</v>
      </c>
      <c r="F46" s="3516">
        <v>44.95</v>
      </c>
      <c r="G46" s="3469">
        <v>8.19</v>
      </c>
      <c r="H46" s="3470" t="s">
        <v>3557</v>
      </c>
      <c r="I46" s="3549">
        <v>19</v>
      </c>
    </row>
    <row r="47" spans="1:9" s="3472" customFormat="1">
      <c r="A47" s="3916"/>
      <c r="B47" s="3907"/>
      <c r="C47" s="3897"/>
      <c r="D47" s="3920"/>
      <c r="E47" s="3605" t="s">
        <v>3566</v>
      </c>
      <c r="F47" s="3516">
        <v>44.95</v>
      </c>
      <c r="G47" s="3469">
        <v>8.19</v>
      </c>
      <c r="H47" s="3470" t="s">
        <v>3557</v>
      </c>
      <c r="I47" s="3549">
        <v>19</v>
      </c>
    </row>
    <row r="48" spans="1:9" s="3472" customFormat="1">
      <c r="A48" s="3916"/>
      <c r="B48" s="3907"/>
      <c r="C48" s="3897"/>
      <c r="D48" s="3920"/>
      <c r="E48" s="3605" t="s">
        <v>3567</v>
      </c>
      <c r="F48" s="3516">
        <v>49.03</v>
      </c>
      <c r="G48" s="3469">
        <v>8.93</v>
      </c>
      <c r="H48" s="3470" t="s">
        <v>3557</v>
      </c>
      <c r="I48" s="3549">
        <v>20</v>
      </c>
    </row>
    <row r="49" spans="1:9" s="3472" customFormat="1">
      <c r="A49" s="3916"/>
      <c r="B49" s="3907"/>
      <c r="C49" s="3897"/>
      <c r="D49" s="3920"/>
      <c r="E49" s="3605" t="s">
        <v>3568</v>
      </c>
      <c r="F49" s="3516">
        <v>44.95</v>
      </c>
      <c r="G49" s="3469">
        <v>8.19</v>
      </c>
      <c r="H49" s="3470" t="s">
        <v>3557</v>
      </c>
      <c r="I49" s="3549">
        <v>19</v>
      </c>
    </row>
    <row r="50" spans="1:9" s="3472" customFormat="1">
      <c r="A50" s="3916"/>
      <c r="B50" s="3907"/>
      <c r="C50" s="3897"/>
      <c r="D50" s="3920"/>
      <c r="E50" s="3605" t="s">
        <v>3569</v>
      </c>
      <c r="F50" s="3516">
        <v>44.95</v>
      </c>
      <c r="G50" s="3469">
        <v>8.19</v>
      </c>
      <c r="H50" s="3470" t="s">
        <v>3557</v>
      </c>
      <c r="I50" s="3549">
        <v>19</v>
      </c>
    </row>
    <row r="51" spans="1:9" s="3472" customFormat="1">
      <c r="A51" s="3916"/>
      <c r="B51" s="3907"/>
      <c r="C51" s="3897"/>
      <c r="D51" s="3920"/>
      <c r="E51" s="3605" t="s">
        <v>3570</v>
      </c>
      <c r="F51" s="3516">
        <v>44.95</v>
      </c>
      <c r="G51" s="3469">
        <v>8.19</v>
      </c>
      <c r="H51" s="3470" t="s">
        <v>3557</v>
      </c>
      <c r="I51" s="3549">
        <v>19</v>
      </c>
    </row>
    <row r="52" spans="1:9" s="3472" customFormat="1">
      <c r="A52" s="3916"/>
      <c r="B52" s="3907"/>
      <c r="C52" s="3897"/>
      <c r="D52" s="3920"/>
      <c r="E52" s="3605" t="s">
        <v>3571</v>
      </c>
      <c r="F52" s="3516">
        <v>44.95</v>
      </c>
      <c r="G52" s="3469">
        <v>8.18</v>
      </c>
      <c r="H52" s="3470" t="s">
        <v>3557</v>
      </c>
      <c r="I52" s="3549">
        <v>19</v>
      </c>
    </row>
    <row r="53" spans="1:9" s="3472" customFormat="1">
      <c r="A53" s="3916"/>
      <c r="B53" s="3907"/>
      <c r="C53" s="3897"/>
      <c r="D53" s="3920"/>
      <c r="E53" s="3605" t="s">
        <v>3572</v>
      </c>
      <c r="F53" s="3516">
        <v>44.95</v>
      </c>
      <c r="G53" s="3469">
        <v>8.18</v>
      </c>
      <c r="H53" s="3470" t="s">
        <v>3557</v>
      </c>
      <c r="I53" s="3549">
        <v>19</v>
      </c>
    </row>
    <row r="54" spans="1:9" s="3472" customFormat="1">
      <c r="A54" s="3916"/>
      <c r="B54" s="3907"/>
      <c r="C54" s="3897"/>
      <c r="D54" s="3920"/>
      <c r="E54" s="3605" t="s">
        <v>3573</v>
      </c>
      <c r="F54" s="3516">
        <v>89.9</v>
      </c>
      <c r="G54" s="3469">
        <v>16.37</v>
      </c>
      <c r="H54" s="3470" t="s">
        <v>3557</v>
      </c>
      <c r="I54" s="3549">
        <v>37</v>
      </c>
    </row>
    <row r="55" spans="1:9" s="3472" customFormat="1">
      <c r="A55" s="3916"/>
      <c r="B55" s="3907"/>
      <c r="C55" s="3897"/>
      <c r="D55" s="3920"/>
      <c r="E55" s="3605" t="s">
        <v>3574</v>
      </c>
      <c r="F55" s="3516">
        <v>89.9</v>
      </c>
      <c r="G55" s="3469">
        <v>16.37</v>
      </c>
      <c r="H55" s="3470" t="s">
        <v>3557</v>
      </c>
      <c r="I55" s="3549">
        <v>37</v>
      </c>
    </row>
    <row r="56" spans="1:9" s="3472" customFormat="1">
      <c r="A56" s="3916"/>
      <c r="B56" s="3907"/>
      <c r="C56" s="3897"/>
      <c r="D56" s="3920"/>
      <c r="E56" s="3605" t="s">
        <v>3575</v>
      </c>
      <c r="F56" s="3516">
        <v>49.03</v>
      </c>
      <c r="G56" s="3469">
        <v>8.93</v>
      </c>
      <c r="H56" s="3470" t="s">
        <v>3557</v>
      </c>
      <c r="I56" s="3549">
        <v>20</v>
      </c>
    </row>
    <row r="57" spans="1:9" s="3472" customFormat="1">
      <c r="A57" s="3916"/>
      <c r="B57" s="3907"/>
      <c r="C57" s="3897"/>
      <c r="D57" s="3920"/>
      <c r="E57" s="3605" t="s">
        <v>3576</v>
      </c>
      <c r="F57" s="3516">
        <v>49.03</v>
      </c>
      <c r="G57" s="3469">
        <v>8.93</v>
      </c>
      <c r="H57" s="3470" t="s">
        <v>3557</v>
      </c>
      <c r="I57" s="3549">
        <v>20</v>
      </c>
    </row>
    <row r="58" spans="1:9" s="3472" customFormat="1">
      <c r="A58" s="3916"/>
      <c r="B58" s="3907"/>
      <c r="C58" s="3897"/>
      <c r="D58" s="3920"/>
      <c r="E58" s="3605" t="s">
        <v>3577</v>
      </c>
      <c r="F58" s="3516">
        <v>44.95</v>
      </c>
      <c r="G58" s="3469">
        <v>8.18</v>
      </c>
      <c r="H58" s="3470" t="s">
        <v>3557</v>
      </c>
      <c r="I58" s="3549">
        <v>19</v>
      </c>
    </row>
    <row r="59" spans="1:9" s="3472" customFormat="1">
      <c r="A59" s="3916"/>
      <c r="B59" s="3907"/>
      <c r="C59" s="3897"/>
      <c r="D59" s="3920"/>
      <c r="E59" s="3605" t="s">
        <v>3578</v>
      </c>
      <c r="F59" s="3516">
        <v>44.95</v>
      </c>
      <c r="G59" s="3469">
        <v>8.18</v>
      </c>
      <c r="H59" s="3470" t="s">
        <v>3557</v>
      </c>
      <c r="I59" s="3549">
        <v>19</v>
      </c>
    </row>
    <row r="60" spans="1:9" s="3472" customFormat="1">
      <c r="A60" s="3916"/>
      <c r="B60" s="3907"/>
      <c r="C60" s="3897"/>
      <c r="D60" s="3920"/>
      <c r="E60" s="3605" t="s">
        <v>3579</v>
      </c>
      <c r="F60" s="3516">
        <v>44.95</v>
      </c>
      <c r="G60" s="3469">
        <v>8.18</v>
      </c>
      <c r="H60" s="3470" t="s">
        <v>3557</v>
      </c>
      <c r="I60" s="3549">
        <v>19</v>
      </c>
    </row>
    <row r="61" spans="1:9" s="3472" customFormat="1">
      <c r="A61" s="3916"/>
      <c r="B61" s="3907"/>
      <c r="C61" s="3897"/>
      <c r="D61" s="3920"/>
      <c r="E61" s="3605" t="s">
        <v>3580</v>
      </c>
      <c r="F61" s="3516">
        <v>44.95</v>
      </c>
      <c r="G61" s="3469">
        <v>8.18</v>
      </c>
      <c r="H61" s="3470" t="s">
        <v>3557</v>
      </c>
      <c r="I61" s="3549">
        <v>19</v>
      </c>
    </row>
    <row r="62" spans="1:9" s="3472" customFormat="1">
      <c r="A62" s="3916"/>
      <c r="B62" s="3907"/>
      <c r="C62" s="3897"/>
      <c r="D62" s="3920"/>
      <c r="E62" s="3605" t="s">
        <v>3581</v>
      </c>
      <c r="F62" s="3516">
        <v>44.95</v>
      </c>
      <c r="G62" s="3469">
        <v>8.18</v>
      </c>
      <c r="H62" s="3470" t="s">
        <v>3557</v>
      </c>
      <c r="I62" s="3549">
        <v>19</v>
      </c>
    </row>
    <row r="63" spans="1:9" s="3472" customFormat="1">
      <c r="A63" s="3916"/>
      <c r="B63" s="3907"/>
      <c r="C63" s="3897"/>
      <c r="D63" s="3920"/>
      <c r="E63" s="3605" t="s">
        <v>3582</v>
      </c>
      <c r="F63" s="3516">
        <v>44.95</v>
      </c>
      <c r="G63" s="3469">
        <v>8.18</v>
      </c>
      <c r="H63" s="3470" t="s">
        <v>3557</v>
      </c>
      <c r="I63" s="3549">
        <v>19</v>
      </c>
    </row>
    <row r="64" spans="1:9" s="3472" customFormat="1">
      <c r="A64" s="3916"/>
      <c r="B64" s="3907"/>
      <c r="C64" s="3897"/>
      <c r="D64" s="3920"/>
      <c r="E64" s="3605" t="s">
        <v>3583</v>
      </c>
      <c r="F64" s="3516">
        <v>44.95</v>
      </c>
      <c r="G64" s="3469">
        <v>8.18</v>
      </c>
      <c r="H64" s="3470" t="s">
        <v>3557</v>
      </c>
      <c r="I64" s="3549">
        <v>19</v>
      </c>
    </row>
    <row r="65" spans="1:9" s="3472" customFormat="1">
      <c r="A65" s="3916"/>
      <c r="B65" s="3907"/>
      <c r="C65" s="3897"/>
      <c r="D65" s="3920"/>
      <c r="E65" s="3605" t="s">
        <v>3584</v>
      </c>
      <c r="F65" s="3516">
        <v>44.95</v>
      </c>
      <c r="G65" s="3469">
        <v>8.18</v>
      </c>
      <c r="H65" s="3470" t="s">
        <v>3557</v>
      </c>
      <c r="I65" s="3549">
        <v>19</v>
      </c>
    </row>
    <row r="66" spans="1:9" s="3472" customFormat="1">
      <c r="A66" s="3916"/>
      <c r="B66" s="3907"/>
      <c r="C66" s="3897"/>
      <c r="D66" s="3920"/>
      <c r="E66" s="3605" t="s">
        <v>3585</v>
      </c>
      <c r="F66" s="3516">
        <v>44.95</v>
      </c>
      <c r="G66" s="3469">
        <v>8.18</v>
      </c>
      <c r="H66" s="3470" t="s">
        <v>3557</v>
      </c>
      <c r="I66" s="3549">
        <v>19</v>
      </c>
    </row>
    <row r="67" spans="1:9" s="3472" customFormat="1">
      <c r="A67" s="3916"/>
      <c r="B67" s="3907"/>
      <c r="C67" s="3897"/>
      <c r="D67" s="3920"/>
      <c r="E67" s="3605" t="s">
        <v>3586</v>
      </c>
      <c r="F67" s="3516">
        <v>49.03</v>
      </c>
      <c r="G67" s="3469">
        <v>8.93</v>
      </c>
      <c r="H67" s="3470" t="s">
        <v>3557</v>
      </c>
      <c r="I67" s="3549">
        <v>20</v>
      </c>
    </row>
    <row r="68" spans="1:9" s="3472" customFormat="1">
      <c r="A68" s="3916"/>
      <c r="B68" s="3907"/>
      <c r="C68" s="3897"/>
      <c r="D68" s="3920"/>
      <c r="E68" s="3605" t="s">
        <v>3587</v>
      </c>
      <c r="F68" s="3516">
        <v>49.03</v>
      </c>
      <c r="G68" s="3469">
        <v>8.93</v>
      </c>
      <c r="H68" s="3470" t="s">
        <v>3557</v>
      </c>
      <c r="I68" s="3549">
        <v>20</v>
      </c>
    </row>
    <row r="69" spans="1:9" s="3472" customFormat="1">
      <c r="A69" s="3916"/>
      <c r="B69" s="3907"/>
      <c r="C69" s="3897"/>
      <c r="D69" s="3920"/>
      <c r="E69" s="3605" t="s">
        <v>3588</v>
      </c>
      <c r="F69" s="3516">
        <v>49.03</v>
      </c>
      <c r="G69" s="3469">
        <v>8.93</v>
      </c>
      <c r="H69" s="3470" t="s">
        <v>3557</v>
      </c>
      <c r="I69" s="3549">
        <v>20</v>
      </c>
    </row>
    <row r="70" spans="1:9" s="3472" customFormat="1">
      <c r="A70" s="3916"/>
      <c r="B70" s="3907"/>
      <c r="C70" s="3897"/>
      <c r="D70" s="3920"/>
      <c r="E70" s="3605" t="s">
        <v>3589</v>
      </c>
      <c r="F70" s="3516">
        <v>44.95</v>
      </c>
      <c r="G70" s="3469">
        <v>8.18</v>
      </c>
      <c r="H70" s="3470" t="s">
        <v>3557</v>
      </c>
      <c r="I70" s="3549">
        <v>19</v>
      </c>
    </row>
    <row r="71" spans="1:9" s="3472" customFormat="1">
      <c r="A71" s="3916"/>
      <c r="B71" s="3907"/>
      <c r="C71" s="3897"/>
      <c r="D71" s="3920"/>
      <c r="E71" s="3605" t="s">
        <v>3590</v>
      </c>
      <c r="F71" s="3516">
        <v>44.95</v>
      </c>
      <c r="G71" s="3469">
        <v>8.18</v>
      </c>
      <c r="H71" s="3470" t="s">
        <v>3557</v>
      </c>
      <c r="I71" s="3549">
        <v>19</v>
      </c>
    </row>
    <row r="72" spans="1:9" s="3472" customFormat="1">
      <c r="A72" s="3916"/>
      <c r="B72" s="3907"/>
      <c r="C72" s="3897"/>
      <c r="D72" s="3920"/>
      <c r="E72" s="3605" t="s">
        <v>3591</v>
      </c>
      <c r="F72" s="3516">
        <v>44.95</v>
      </c>
      <c r="G72" s="3469">
        <v>8.18</v>
      </c>
      <c r="H72" s="3470" t="s">
        <v>3557</v>
      </c>
      <c r="I72" s="3549">
        <v>19</v>
      </c>
    </row>
    <row r="73" spans="1:9" s="3472" customFormat="1">
      <c r="A73" s="3916"/>
      <c r="B73" s="3907"/>
      <c r="C73" s="3897"/>
      <c r="D73" s="3920"/>
      <c r="E73" s="3468" t="s">
        <v>3592</v>
      </c>
      <c r="F73" s="3516">
        <v>44.95</v>
      </c>
      <c r="G73" s="3469">
        <v>8.18</v>
      </c>
      <c r="H73" s="3470" t="s">
        <v>3557</v>
      </c>
      <c r="I73" s="3549">
        <v>19</v>
      </c>
    </row>
    <row r="74" spans="1:9" s="3472" customFormat="1">
      <c r="A74" s="3916"/>
      <c r="B74" s="3918"/>
      <c r="C74" s="3897"/>
      <c r="D74" s="3920"/>
      <c r="E74" s="3468" t="s">
        <v>3593</v>
      </c>
      <c r="F74" s="3516">
        <v>44.95</v>
      </c>
      <c r="G74" s="3469">
        <v>8.18</v>
      </c>
      <c r="H74" s="3470" t="s">
        <v>3557</v>
      </c>
      <c r="I74" s="3549">
        <v>19</v>
      </c>
    </row>
    <row r="75" spans="1:9" s="3472" customFormat="1">
      <c r="A75" s="3916"/>
      <c r="B75" s="3906" t="s">
        <v>3553</v>
      </c>
      <c r="C75" s="3897" t="s">
        <v>3554</v>
      </c>
      <c r="D75" s="3920" t="s">
        <v>3555</v>
      </c>
      <c r="E75" s="3468" t="s">
        <v>3594</v>
      </c>
      <c r="F75" s="3516">
        <v>44.95</v>
      </c>
      <c r="G75" s="3469">
        <v>8.18</v>
      </c>
      <c r="H75" s="3470" t="s">
        <v>3557</v>
      </c>
      <c r="I75" s="3549">
        <v>19</v>
      </c>
    </row>
    <row r="76" spans="1:9" s="3472" customFormat="1">
      <c r="A76" s="3916"/>
      <c r="B76" s="3907"/>
      <c r="C76" s="3897"/>
      <c r="D76" s="3920"/>
      <c r="E76" s="3468" t="s">
        <v>3595</v>
      </c>
      <c r="F76" s="3516">
        <v>44.95</v>
      </c>
      <c r="G76" s="3469">
        <v>8.18</v>
      </c>
      <c r="H76" s="3470" t="s">
        <v>3557</v>
      </c>
      <c r="I76" s="3549">
        <v>19</v>
      </c>
    </row>
    <row r="77" spans="1:9" s="3472" customFormat="1">
      <c r="A77" s="3916"/>
      <c r="B77" s="3907"/>
      <c r="C77" s="3897"/>
      <c r="D77" s="3920"/>
      <c r="E77" s="3468" t="s">
        <v>3596</v>
      </c>
      <c r="F77" s="3516">
        <v>44.95</v>
      </c>
      <c r="G77" s="3469">
        <v>8.18</v>
      </c>
      <c r="H77" s="3470" t="s">
        <v>3557</v>
      </c>
      <c r="I77" s="3549">
        <v>19</v>
      </c>
    </row>
    <row r="78" spans="1:9" s="3472" customFormat="1">
      <c r="A78" s="3916"/>
      <c r="B78" s="3907"/>
      <c r="C78" s="3897"/>
      <c r="D78" s="3920"/>
      <c r="E78" s="3468" t="s">
        <v>3597</v>
      </c>
      <c r="F78" s="3516">
        <v>44.95</v>
      </c>
      <c r="G78" s="3469">
        <v>8.18</v>
      </c>
      <c r="H78" s="3470" t="s">
        <v>3557</v>
      </c>
      <c r="I78" s="3549">
        <v>19</v>
      </c>
    </row>
    <row r="79" spans="1:9" s="3472" customFormat="1">
      <c r="A79" s="3916"/>
      <c r="B79" s="3907"/>
      <c r="C79" s="3897"/>
      <c r="D79" s="3920"/>
      <c r="E79" s="3468" t="s">
        <v>3598</v>
      </c>
      <c r="F79" s="3516">
        <v>44.95</v>
      </c>
      <c r="G79" s="3469">
        <v>8.18</v>
      </c>
      <c r="H79" s="3470" t="s">
        <v>3557</v>
      </c>
      <c r="I79" s="3549">
        <v>19</v>
      </c>
    </row>
    <row r="80" spans="1:9" s="3472" customFormat="1">
      <c r="A80" s="3916"/>
      <c r="B80" s="3907"/>
      <c r="C80" s="3897"/>
      <c r="D80" s="3920"/>
      <c r="E80" s="3468" t="s">
        <v>3599</v>
      </c>
      <c r="F80" s="3516">
        <v>44.95</v>
      </c>
      <c r="G80" s="3469">
        <v>8.18</v>
      </c>
      <c r="H80" s="3470" t="s">
        <v>3557</v>
      </c>
      <c r="I80" s="3549">
        <v>19</v>
      </c>
    </row>
    <row r="81" spans="1:9" s="3472" customFormat="1">
      <c r="A81" s="3916"/>
      <c r="B81" s="3907"/>
      <c r="C81" s="3897"/>
      <c r="D81" s="3920"/>
      <c r="E81" s="3468" t="s">
        <v>3600</v>
      </c>
      <c r="F81" s="3516">
        <v>44.95</v>
      </c>
      <c r="G81" s="3469">
        <v>8.18</v>
      </c>
      <c r="H81" s="3470" t="s">
        <v>3557</v>
      </c>
      <c r="I81" s="3549">
        <v>19</v>
      </c>
    </row>
    <row r="82" spans="1:9" s="3472" customFormat="1">
      <c r="A82" s="3916"/>
      <c r="B82" s="3907"/>
      <c r="C82" s="3897"/>
      <c r="D82" s="3920"/>
      <c r="E82" s="3468" t="s">
        <v>3601</v>
      </c>
      <c r="F82" s="3516">
        <v>44.95</v>
      </c>
      <c r="G82" s="3469">
        <v>8.18</v>
      </c>
      <c r="H82" s="3470" t="s">
        <v>3557</v>
      </c>
      <c r="I82" s="3549">
        <v>19</v>
      </c>
    </row>
    <row r="83" spans="1:9" s="3472" customFormat="1">
      <c r="A83" s="3916"/>
      <c r="B83" s="3907"/>
      <c r="C83" s="3897"/>
      <c r="D83" s="3920"/>
      <c r="E83" s="3468" t="s">
        <v>3602</v>
      </c>
      <c r="F83" s="3516">
        <v>44.95</v>
      </c>
      <c r="G83" s="3469">
        <v>8.18</v>
      </c>
      <c r="H83" s="3470" t="s">
        <v>3557</v>
      </c>
      <c r="I83" s="3549">
        <v>19</v>
      </c>
    </row>
    <row r="84" spans="1:9" s="3472" customFormat="1">
      <c r="A84" s="3916"/>
      <c r="B84" s="3907"/>
      <c r="C84" s="3897"/>
      <c r="D84" s="3920"/>
      <c r="E84" s="3468" t="s">
        <v>3603</v>
      </c>
      <c r="F84" s="3516">
        <v>44.95</v>
      </c>
      <c r="G84" s="3469">
        <v>8.18</v>
      </c>
      <c r="H84" s="3470" t="s">
        <v>3557</v>
      </c>
      <c r="I84" s="3549">
        <v>19</v>
      </c>
    </row>
    <row r="85" spans="1:9" s="3472" customFormat="1">
      <c r="A85" s="3916"/>
      <c r="B85" s="3907"/>
      <c r="C85" s="3897"/>
      <c r="D85" s="3920"/>
      <c r="E85" s="3605" t="s">
        <v>3604</v>
      </c>
      <c r="F85" s="3516">
        <v>44.95</v>
      </c>
      <c r="G85" s="3469">
        <v>8.18</v>
      </c>
      <c r="H85" s="3470" t="s">
        <v>3557</v>
      </c>
      <c r="I85" s="3549">
        <v>19</v>
      </c>
    </row>
    <row r="86" spans="1:9" s="3472" customFormat="1">
      <c r="A86" s="3916"/>
      <c r="B86" s="3907"/>
      <c r="C86" s="3897"/>
      <c r="D86" s="3920"/>
      <c r="E86" s="3605" t="s">
        <v>3605</v>
      </c>
      <c r="F86" s="3516">
        <v>44.95</v>
      </c>
      <c r="G86" s="3469">
        <v>8.18</v>
      </c>
      <c r="H86" s="3470" t="s">
        <v>3557</v>
      </c>
      <c r="I86" s="3549">
        <v>19</v>
      </c>
    </row>
    <row r="87" spans="1:9" s="3472" customFormat="1">
      <c r="A87" s="3916"/>
      <c r="B87" s="3907"/>
      <c r="C87" s="3897"/>
      <c r="D87" s="3920"/>
      <c r="E87" s="3468" t="s">
        <v>3606</v>
      </c>
      <c r="F87" s="3516">
        <v>44.95</v>
      </c>
      <c r="G87" s="3469">
        <v>8.18</v>
      </c>
      <c r="H87" s="3470" t="s">
        <v>3557</v>
      </c>
      <c r="I87" s="3549">
        <v>19</v>
      </c>
    </row>
    <row r="88" spans="1:9" s="3472" customFormat="1">
      <c r="A88" s="3916"/>
      <c r="B88" s="3907"/>
      <c r="C88" s="3897"/>
      <c r="D88" s="3920"/>
      <c r="E88" s="3468" t="s">
        <v>3607</v>
      </c>
      <c r="F88" s="3516">
        <v>49.03</v>
      </c>
      <c r="G88" s="3469">
        <v>8.93</v>
      </c>
      <c r="H88" s="3470" t="s">
        <v>3557</v>
      </c>
      <c r="I88" s="3549">
        <v>20</v>
      </c>
    </row>
    <row r="89" spans="1:9" s="3472" customFormat="1">
      <c r="A89" s="3916"/>
      <c r="B89" s="3907"/>
      <c r="C89" s="3897"/>
      <c r="D89" s="3920"/>
      <c r="E89" s="3468" t="s">
        <v>3608</v>
      </c>
      <c r="F89" s="3516">
        <v>44.95</v>
      </c>
      <c r="G89" s="3469">
        <v>8.18</v>
      </c>
      <c r="H89" s="3470" t="s">
        <v>3557</v>
      </c>
      <c r="I89" s="3549">
        <v>19</v>
      </c>
    </row>
    <row r="90" spans="1:9" s="3472" customFormat="1">
      <c r="A90" s="3916"/>
      <c r="B90" s="3907"/>
      <c r="C90" s="3897"/>
      <c r="D90" s="3920"/>
      <c r="E90" s="3605" t="s">
        <v>3609</v>
      </c>
      <c r="F90" s="3516">
        <v>44.95</v>
      </c>
      <c r="G90" s="3469">
        <v>8.18</v>
      </c>
      <c r="H90" s="3470" t="s">
        <v>3557</v>
      </c>
      <c r="I90" s="3549">
        <v>19</v>
      </c>
    </row>
    <row r="91" spans="1:9" s="3472" customFormat="1">
      <c r="A91" s="3916"/>
      <c r="B91" s="3907"/>
      <c r="C91" s="3897"/>
      <c r="D91" s="3920"/>
      <c r="E91" s="3468" t="s">
        <v>3610</v>
      </c>
      <c r="F91" s="3516">
        <v>44.95</v>
      </c>
      <c r="G91" s="3469">
        <v>8.18</v>
      </c>
      <c r="H91" s="3470" t="s">
        <v>3557</v>
      </c>
      <c r="I91" s="3549">
        <v>19</v>
      </c>
    </row>
    <row r="92" spans="1:9" s="3472" customFormat="1">
      <c r="A92" s="3916"/>
      <c r="B92" s="3907"/>
      <c r="C92" s="3897"/>
      <c r="D92" s="3920"/>
      <c r="E92" s="3468" t="s">
        <v>3611</v>
      </c>
      <c r="F92" s="3516">
        <v>44.95</v>
      </c>
      <c r="G92" s="3469">
        <v>8.18</v>
      </c>
      <c r="H92" s="3470" t="s">
        <v>3557</v>
      </c>
      <c r="I92" s="3549">
        <v>19</v>
      </c>
    </row>
    <row r="93" spans="1:9" s="3472" customFormat="1">
      <c r="A93" s="3916"/>
      <c r="B93" s="3907"/>
      <c r="C93" s="3897"/>
      <c r="D93" s="3920"/>
      <c r="E93" s="3468" t="s">
        <v>3612</v>
      </c>
      <c r="F93" s="3516">
        <v>44.95</v>
      </c>
      <c r="G93" s="3469">
        <v>8.18</v>
      </c>
      <c r="H93" s="3470" t="s">
        <v>3557</v>
      </c>
      <c r="I93" s="3549">
        <v>19</v>
      </c>
    </row>
    <row r="94" spans="1:9" s="3472" customFormat="1">
      <c r="A94" s="3916"/>
      <c r="B94" s="3907"/>
      <c r="C94" s="3897"/>
      <c r="D94" s="3920"/>
      <c r="E94" s="3468" t="s">
        <v>3613</v>
      </c>
      <c r="F94" s="3516">
        <v>44.95</v>
      </c>
      <c r="G94" s="3469">
        <v>8.18</v>
      </c>
      <c r="H94" s="3470" t="s">
        <v>3557</v>
      </c>
      <c r="I94" s="3549">
        <v>19</v>
      </c>
    </row>
    <row r="95" spans="1:9" s="3472" customFormat="1">
      <c r="A95" s="3916"/>
      <c r="B95" s="3907"/>
      <c r="C95" s="3897"/>
      <c r="D95" s="3920"/>
      <c r="E95" s="3468" t="s">
        <v>3614</v>
      </c>
      <c r="F95" s="3516">
        <v>44.95</v>
      </c>
      <c r="G95" s="3469">
        <v>8.18</v>
      </c>
      <c r="H95" s="3470" t="s">
        <v>3557</v>
      </c>
      <c r="I95" s="3549">
        <v>19</v>
      </c>
    </row>
    <row r="96" spans="1:9" s="3472" customFormat="1">
      <c r="A96" s="3916"/>
      <c r="B96" s="3907"/>
      <c r="C96" s="3897"/>
      <c r="D96" s="3920"/>
      <c r="E96" s="3468" t="s">
        <v>3615</v>
      </c>
      <c r="F96" s="3516">
        <v>44.95</v>
      </c>
      <c r="G96" s="3469">
        <v>8.18</v>
      </c>
      <c r="H96" s="3470" t="s">
        <v>3557</v>
      </c>
      <c r="I96" s="3549">
        <v>19</v>
      </c>
    </row>
    <row r="97" spans="1:9" s="3472" customFormat="1">
      <c r="A97" s="3916"/>
      <c r="B97" s="3907"/>
      <c r="C97" s="3897"/>
      <c r="D97" s="3920"/>
      <c r="E97" s="3468" t="s">
        <v>3616</v>
      </c>
      <c r="F97" s="3516">
        <v>44.95</v>
      </c>
      <c r="G97" s="3469">
        <v>8.18</v>
      </c>
      <c r="H97" s="3470" t="s">
        <v>3557</v>
      </c>
      <c r="I97" s="3549">
        <v>19</v>
      </c>
    </row>
    <row r="98" spans="1:9" s="3472" customFormat="1">
      <c r="A98" s="3916"/>
      <c r="B98" s="3907"/>
      <c r="C98" s="3897"/>
      <c r="D98" s="3920"/>
      <c r="E98" s="3468" t="s">
        <v>3617</v>
      </c>
      <c r="F98" s="3516">
        <v>44.95</v>
      </c>
      <c r="G98" s="3469">
        <v>8.18</v>
      </c>
      <c r="H98" s="3470" t="s">
        <v>3557</v>
      </c>
      <c r="I98" s="3549">
        <v>19</v>
      </c>
    </row>
    <row r="99" spans="1:9" s="3472" customFormat="1">
      <c r="A99" s="3916"/>
      <c r="B99" s="3907"/>
      <c r="C99" s="3897"/>
      <c r="D99" s="3920"/>
      <c r="E99" s="3468" t="s">
        <v>3618</v>
      </c>
      <c r="F99" s="3516">
        <v>44.95</v>
      </c>
      <c r="G99" s="3469">
        <v>8.18</v>
      </c>
      <c r="H99" s="3470" t="s">
        <v>3557</v>
      </c>
      <c r="I99" s="3549">
        <v>19</v>
      </c>
    </row>
    <row r="100" spans="1:9" s="3472" customFormat="1">
      <c r="A100" s="3916"/>
      <c r="B100" s="3907"/>
      <c r="C100" s="3897"/>
      <c r="D100" s="3920"/>
      <c r="E100" s="3468" t="s">
        <v>3619</v>
      </c>
      <c r="F100" s="3516">
        <v>44.95</v>
      </c>
      <c r="G100" s="3469">
        <v>8.18</v>
      </c>
      <c r="H100" s="3470" t="s">
        <v>3557</v>
      </c>
      <c r="I100" s="3549">
        <v>19</v>
      </c>
    </row>
    <row r="101" spans="1:9" s="3472" customFormat="1">
      <c r="A101" s="3916"/>
      <c r="B101" s="3907"/>
      <c r="C101" s="3897"/>
      <c r="D101" s="3920"/>
      <c r="E101" s="3468" t="s">
        <v>3620</v>
      </c>
      <c r="F101" s="3516">
        <v>44.95</v>
      </c>
      <c r="G101" s="3469">
        <v>8.18</v>
      </c>
      <c r="H101" s="3470" t="s">
        <v>3557</v>
      </c>
      <c r="I101" s="3549">
        <v>19</v>
      </c>
    </row>
    <row r="102" spans="1:9" s="3472" customFormat="1">
      <c r="A102" s="3916"/>
      <c r="B102" s="3907"/>
      <c r="C102" s="3897"/>
      <c r="D102" s="3920"/>
      <c r="E102" s="3468" t="s">
        <v>3621</v>
      </c>
      <c r="F102" s="3516">
        <v>44.95</v>
      </c>
      <c r="G102" s="3469">
        <v>8.18</v>
      </c>
      <c r="H102" s="3470" t="s">
        <v>3557</v>
      </c>
      <c r="I102" s="3549">
        <v>19</v>
      </c>
    </row>
    <row r="103" spans="1:9" s="3472" customFormat="1">
      <c r="A103" s="3916"/>
      <c r="B103" s="3907"/>
      <c r="C103" s="3897"/>
      <c r="D103" s="3920"/>
      <c r="E103" s="3468" t="s">
        <v>3622</v>
      </c>
      <c r="F103" s="3516">
        <v>44.95</v>
      </c>
      <c r="G103" s="3469">
        <v>8.18</v>
      </c>
      <c r="H103" s="3470" t="s">
        <v>3557</v>
      </c>
      <c r="I103" s="3549">
        <v>19</v>
      </c>
    </row>
    <row r="104" spans="1:9" s="3472" customFormat="1">
      <c r="A104" s="3916"/>
      <c r="B104" s="3907"/>
      <c r="C104" s="3897"/>
      <c r="D104" s="3920"/>
      <c r="E104" s="3468" t="s">
        <v>3623</v>
      </c>
      <c r="F104" s="3516">
        <v>44.95</v>
      </c>
      <c r="G104" s="3469">
        <v>8.18</v>
      </c>
      <c r="H104" s="3470" t="s">
        <v>3557</v>
      </c>
      <c r="I104" s="3549">
        <v>19</v>
      </c>
    </row>
    <row r="105" spans="1:9" s="3472" customFormat="1">
      <c r="A105" s="3916"/>
      <c r="B105" s="3907"/>
      <c r="C105" s="3897"/>
      <c r="D105" s="3920"/>
      <c r="E105" s="3468" t="s">
        <v>3624</v>
      </c>
      <c r="F105" s="3516">
        <v>44.95</v>
      </c>
      <c r="G105" s="3469">
        <v>8.18</v>
      </c>
      <c r="H105" s="3470" t="s">
        <v>3557</v>
      </c>
      <c r="I105" s="3549">
        <v>19</v>
      </c>
    </row>
    <row r="106" spans="1:9" s="3472" customFormat="1">
      <c r="A106" s="3916"/>
      <c r="B106" s="3907"/>
      <c r="C106" s="3897"/>
      <c r="D106" s="3920"/>
      <c r="E106" s="3468" t="s">
        <v>3625</v>
      </c>
      <c r="F106" s="3516">
        <v>44.95</v>
      </c>
      <c r="G106" s="3469">
        <v>8.18</v>
      </c>
      <c r="H106" s="3470" t="s">
        <v>3557</v>
      </c>
      <c r="I106" s="3549">
        <v>19</v>
      </c>
    </row>
    <row r="107" spans="1:9" s="3472" customFormat="1">
      <c r="A107" s="3916"/>
      <c r="B107" s="3907"/>
      <c r="C107" s="3897"/>
      <c r="D107" s="3920"/>
      <c r="E107" s="3468" t="s">
        <v>3626</v>
      </c>
      <c r="F107" s="3516">
        <v>49.03</v>
      </c>
      <c r="G107" s="3469">
        <v>8.93</v>
      </c>
      <c r="H107" s="3470" t="s">
        <v>3557</v>
      </c>
      <c r="I107" s="3549">
        <v>20</v>
      </c>
    </row>
    <row r="108" spans="1:9" s="3472" customFormat="1">
      <c r="A108" s="3916"/>
      <c r="B108" s="3907"/>
      <c r="C108" s="3897"/>
      <c r="D108" s="3920"/>
      <c r="E108" s="3468" t="s">
        <v>3627</v>
      </c>
      <c r="F108" s="3516">
        <v>44.95</v>
      </c>
      <c r="G108" s="3469">
        <v>8.18</v>
      </c>
      <c r="H108" s="3470" t="s">
        <v>3557</v>
      </c>
      <c r="I108" s="3549">
        <v>19</v>
      </c>
    </row>
    <row r="109" spans="1:9" s="3472" customFormat="1">
      <c r="A109" s="3916"/>
      <c r="B109" s="3907"/>
      <c r="C109" s="3897"/>
      <c r="D109" s="3920"/>
      <c r="E109" s="3468" t="s">
        <v>3628</v>
      </c>
      <c r="F109" s="3516">
        <v>44.95</v>
      </c>
      <c r="G109" s="3469">
        <v>8.18</v>
      </c>
      <c r="H109" s="3470" t="s">
        <v>3557</v>
      </c>
      <c r="I109" s="3549">
        <v>19</v>
      </c>
    </row>
    <row r="110" spans="1:9" s="3472" customFormat="1">
      <c r="A110" s="3916"/>
      <c r="B110" s="3907"/>
      <c r="C110" s="3897"/>
      <c r="D110" s="3920"/>
      <c r="E110" s="3468" t="s">
        <v>3629</v>
      </c>
      <c r="F110" s="3516">
        <v>44.95</v>
      </c>
      <c r="G110" s="3469">
        <v>8.18</v>
      </c>
      <c r="H110" s="3470" t="s">
        <v>3557</v>
      </c>
      <c r="I110" s="3549">
        <v>19</v>
      </c>
    </row>
    <row r="111" spans="1:9" s="3472" customFormat="1">
      <c r="A111" s="3916"/>
      <c r="B111" s="3918"/>
      <c r="C111" s="3897"/>
      <c r="D111" s="3920"/>
      <c r="E111" s="3468" t="s">
        <v>3630</v>
      </c>
      <c r="F111" s="3516">
        <v>44.95</v>
      </c>
      <c r="G111" s="3469">
        <v>8.18</v>
      </c>
      <c r="H111" s="3470" t="s">
        <v>3557</v>
      </c>
      <c r="I111" s="3549">
        <v>19</v>
      </c>
    </row>
    <row r="112" spans="1:9" s="3472" customFormat="1">
      <c r="A112" s="3916"/>
      <c r="B112" s="3906" t="s">
        <v>3553</v>
      </c>
      <c r="C112" s="3897" t="s">
        <v>3554</v>
      </c>
      <c r="D112" s="3920" t="s">
        <v>3555</v>
      </c>
      <c r="E112" s="3468" t="s">
        <v>3631</v>
      </c>
      <c r="F112" s="3516">
        <v>44.95</v>
      </c>
      <c r="G112" s="3469">
        <v>8.18</v>
      </c>
      <c r="H112" s="3470" t="s">
        <v>3557</v>
      </c>
      <c r="I112" s="3549">
        <v>19</v>
      </c>
    </row>
    <row r="113" spans="1:9" s="3472" customFormat="1">
      <c r="A113" s="3916"/>
      <c r="B113" s="3907"/>
      <c r="C113" s="3897"/>
      <c r="D113" s="3920"/>
      <c r="E113" s="3468" t="s">
        <v>3632</v>
      </c>
      <c r="F113" s="3516">
        <v>73.14</v>
      </c>
      <c r="G113" s="3469">
        <v>13.32</v>
      </c>
      <c r="H113" s="3470" t="s">
        <v>3557</v>
      </c>
      <c r="I113" s="3549">
        <v>30</v>
      </c>
    </row>
    <row r="114" spans="1:9" s="3472" customFormat="1">
      <c r="A114" s="3916"/>
      <c r="B114" s="3907"/>
      <c r="C114" s="3897"/>
      <c r="D114" s="3920"/>
      <c r="E114" s="3468" t="s">
        <v>3633</v>
      </c>
      <c r="F114" s="3516">
        <v>44.95</v>
      </c>
      <c r="G114" s="3469">
        <v>8.18</v>
      </c>
      <c r="H114" s="3470" t="s">
        <v>3557</v>
      </c>
      <c r="I114" s="3549">
        <v>19</v>
      </c>
    </row>
    <row r="115" spans="1:9" s="3472" customFormat="1">
      <c r="A115" s="3916"/>
      <c r="B115" s="3907"/>
      <c r="C115" s="3897"/>
      <c r="D115" s="3920"/>
      <c r="E115" s="3468" t="s">
        <v>3634</v>
      </c>
      <c r="F115" s="3516">
        <v>44.95</v>
      </c>
      <c r="G115" s="3469">
        <v>8.18</v>
      </c>
      <c r="H115" s="3470" t="s">
        <v>3557</v>
      </c>
      <c r="I115" s="3549">
        <v>19</v>
      </c>
    </row>
    <row r="116" spans="1:9" s="3472" customFormat="1">
      <c r="A116" s="3916"/>
      <c r="B116" s="3907"/>
      <c r="C116" s="3897"/>
      <c r="D116" s="3920"/>
      <c r="E116" s="3468" t="s">
        <v>3635</v>
      </c>
      <c r="F116" s="3516">
        <v>44.95</v>
      </c>
      <c r="G116" s="3469">
        <v>8.18</v>
      </c>
      <c r="H116" s="3470" t="s">
        <v>3557</v>
      </c>
      <c r="I116" s="3549">
        <v>19</v>
      </c>
    </row>
    <row r="117" spans="1:9" s="3472" customFormat="1">
      <c r="A117" s="3916"/>
      <c r="B117" s="3907"/>
      <c r="C117" s="3897"/>
      <c r="D117" s="3920"/>
      <c r="E117" s="3468" t="s">
        <v>3636</v>
      </c>
      <c r="F117" s="3516">
        <v>44.95</v>
      </c>
      <c r="G117" s="3469">
        <v>8.18</v>
      </c>
      <c r="H117" s="3470" t="s">
        <v>3557</v>
      </c>
      <c r="I117" s="3549">
        <v>19</v>
      </c>
    </row>
    <row r="118" spans="1:9" s="3472" customFormat="1">
      <c r="A118" s="3916"/>
      <c r="B118" s="3907"/>
      <c r="C118" s="3897"/>
      <c r="D118" s="3920"/>
      <c r="E118" s="3468" t="s">
        <v>3637</v>
      </c>
      <c r="F118" s="3516">
        <v>44.95</v>
      </c>
      <c r="G118" s="3469">
        <v>8.18</v>
      </c>
      <c r="H118" s="3470" t="s">
        <v>3557</v>
      </c>
      <c r="I118" s="3549">
        <v>19</v>
      </c>
    </row>
    <row r="119" spans="1:9" s="3472" customFormat="1">
      <c r="A119" s="3916"/>
      <c r="B119" s="3907"/>
      <c r="C119" s="3897"/>
      <c r="D119" s="3920"/>
      <c r="E119" s="3468" t="s">
        <v>3638</v>
      </c>
      <c r="F119" s="3516">
        <v>73.14</v>
      </c>
      <c r="G119" s="3469">
        <v>13.32</v>
      </c>
      <c r="H119" s="3470" t="s">
        <v>3557</v>
      </c>
      <c r="I119" s="3549">
        <v>30</v>
      </c>
    </row>
    <row r="120" spans="1:9" s="3472" customFormat="1">
      <c r="A120" s="3916"/>
      <c r="B120" s="3907"/>
      <c r="C120" s="3897"/>
      <c r="D120" s="3920"/>
      <c r="E120" s="3468" t="s">
        <v>3639</v>
      </c>
      <c r="F120" s="3516">
        <v>44.95</v>
      </c>
      <c r="G120" s="3469">
        <v>8.18</v>
      </c>
      <c r="H120" s="3470" t="s">
        <v>3557</v>
      </c>
      <c r="I120" s="3549">
        <v>19</v>
      </c>
    </row>
    <row r="121" spans="1:9" s="3472" customFormat="1">
      <c r="A121" s="3916"/>
      <c r="B121" s="3907"/>
      <c r="C121" s="3897"/>
      <c r="D121" s="3920"/>
      <c r="E121" s="3468" t="s">
        <v>3640</v>
      </c>
      <c r="F121" s="3516">
        <v>44.95</v>
      </c>
      <c r="G121" s="3469">
        <v>8.18</v>
      </c>
      <c r="H121" s="3470" t="s">
        <v>3557</v>
      </c>
      <c r="I121" s="3549">
        <v>19</v>
      </c>
    </row>
    <row r="122" spans="1:9" s="3472" customFormat="1">
      <c r="A122" s="3916"/>
      <c r="B122" s="3907"/>
      <c r="C122" s="3897"/>
      <c r="D122" s="3920"/>
      <c r="E122" s="3468" t="s">
        <v>3641</v>
      </c>
      <c r="F122" s="3516">
        <v>44.95</v>
      </c>
      <c r="G122" s="3469">
        <v>8.18</v>
      </c>
      <c r="H122" s="3470" t="s">
        <v>3557</v>
      </c>
      <c r="I122" s="3549">
        <v>19</v>
      </c>
    </row>
    <row r="123" spans="1:9" s="3472" customFormat="1">
      <c r="A123" s="3916"/>
      <c r="B123" s="3907"/>
      <c r="C123" s="3897"/>
      <c r="D123" s="3920"/>
      <c r="E123" s="3468" t="s">
        <v>3642</v>
      </c>
      <c r="F123" s="3516">
        <v>44.95</v>
      </c>
      <c r="G123" s="3469">
        <v>8.18</v>
      </c>
      <c r="H123" s="3470" t="s">
        <v>3557</v>
      </c>
      <c r="I123" s="3549">
        <v>19</v>
      </c>
    </row>
    <row r="124" spans="1:9" s="3472" customFormat="1">
      <c r="A124" s="3916"/>
      <c r="B124" s="3907"/>
      <c r="C124" s="3897"/>
      <c r="D124" s="3920"/>
      <c r="E124" s="3468" t="s">
        <v>3643</v>
      </c>
      <c r="F124" s="3516">
        <v>89.9</v>
      </c>
      <c r="G124" s="3469">
        <v>16.37</v>
      </c>
      <c r="H124" s="3470" t="s">
        <v>3557</v>
      </c>
      <c r="I124" s="3549">
        <v>37</v>
      </c>
    </row>
    <row r="125" spans="1:9" s="3472" customFormat="1">
      <c r="A125" s="3916"/>
      <c r="B125" s="3907"/>
      <c r="C125" s="3897"/>
      <c r="D125" s="3920"/>
      <c r="E125" s="3468" t="s">
        <v>3644</v>
      </c>
      <c r="F125" s="3516">
        <v>89.9</v>
      </c>
      <c r="G125" s="3469">
        <v>16.37</v>
      </c>
      <c r="H125" s="3470" t="s">
        <v>3557</v>
      </c>
      <c r="I125" s="3549">
        <v>37</v>
      </c>
    </row>
    <row r="126" spans="1:9" s="3472" customFormat="1">
      <c r="A126" s="3916"/>
      <c r="B126" s="3907"/>
      <c r="C126" s="3897"/>
      <c r="D126" s="3920"/>
      <c r="E126" s="3468" t="s">
        <v>3645</v>
      </c>
      <c r="F126" s="3516">
        <v>89.9</v>
      </c>
      <c r="G126" s="3469">
        <v>16.37</v>
      </c>
      <c r="H126" s="3470" t="s">
        <v>3557</v>
      </c>
      <c r="I126" s="3549">
        <v>37</v>
      </c>
    </row>
    <row r="127" spans="1:9" s="3472" customFormat="1">
      <c r="A127" s="3916"/>
      <c r="B127" s="3907"/>
      <c r="C127" s="3897"/>
      <c r="D127" s="3920"/>
      <c r="E127" s="3468" t="s">
        <v>3646</v>
      </c>
      <c r="F127" s="3516">
        <v>49.03</v>
      </c>
      <c r="G127" s="3469">
        <v>8.93</v>
      </c>
      <c r="H127" s="3470" t="s">
        <v>3557</v>
      </c>
      <c r="I127" s="3549">
        <v>20</v>
      </c>
    </row>
    <row r="128" spans="1:9" s="3472" customFormat="1">
      <c r="A128" s="3916"/>
      <c r="B128" s="3907"/>
      <c r="C128" s="3897"/>
      <c r="D128" s="3920"/>
      <c r="E128" s="3468" t="s">
        <v>3647</v>
      </c>
      <c r="F128" s="3516">
        <v>89.9</v>
      </c>
      <c r="G128" s="3469">
        <v>16.37</v>
      </c>
      <c r="H128" s="3470" t="s">
        <v>3557</v>
      </c>
      <c r="I128" s="3549">
        <v>37</v>
      </c>
    </row>
    <row r="129" spans="1:9" s="3472" customFormat="1">
      <c r="A129" s="3916"/>
      <c r="B129" s="3907"/>
      <c r="C129" s="3897"/>
      <c r="D129" s="3920"/>
      <c r="E129" s="3468" t="s">
        <v>3648</v>
      </c>
      <c r="F129" s="3516">
        <v>89.9</v>
      </c>
      <c r="G129" s="3469">
        <v>16.37</v>
      </c>
      <c r="H129" s="3470" t="s">
        <v>3557</v>
      </c>
      <c r="I129" s="3549">
        <v>37</v>
      </c>
    </row>
    <row r="130" spans="1:9" s="3472" customFormat="1">
      <c r="A130" s="3916"/>
      <c r="B130" s="3907"/>
      <c r="C130" s="3897"/>
      <c r="D130" s="3920"/>
      <c r="E130" s="3468" t="s">
        <v>3649</v>
      </c>
      <c r="F130" s="3516">
        <v>89.9</v>
      </c>
      <c r="G130" s="3469">
        <v>16.37</v>
      </c>
      <c r="H130" s="3470" t="s">
        <v>3557</v>
      </c>
      <c r="I130" s="3549">
        <v>37</v>
      </c>
    </row>
    <row r="131" spans="1:9" s="3472" customFormat="1">
      <c r="A131" s="3916"/>
      <c r="B131" s="3907"/>
      <c r="C131" s="3897"/>
      <c r="D131" s="3920"/>
      <c r="E131" s="3468" t="s">
        <v>3650</v>
      </c>
      <c r="F131" s="3516">
        <v>44.95</v>
      </c>
      <c r="G131" s="3469">
        <v>8.18</v>
      </c>
      <c r="H131" s="3470" t="s">
        <v>3557</v>
      </c>
      <c r="I131" s="3549">
        <v>19</v>
      </c>
    </row>
    <row r="132" spans="1:9" s="3472" customFormat="1">
      <c r="A132" s="3916"/>
      <c r="B132" s="3907"/>
      <c r="C132" s="3897"/>
      <c r="D132" s="3920"/>
      <c r="E132" s="3468" t="s">
        <v>4297</v>
      </c>
      <c r="F132" s="3516">
        <v>44.95</v>
      </c>
      <c r="G132" s="3469">
        <v>8.18</v>
      </c>
      <c r="H132" s="3470" t="s">
        <v>3557</v>
      </c>
      <c r="I132" s="3549">
        <v>20</v>
      </c>
    </row>
    <row r="133" spans="1:9" s="3472" customFormat="1">
      <c r="A133" s="3916"/>
      <c r="B133" s="3907"/>
      <c r="C133" s="3897"/>
      <c r="D133" s="3920"/>
      <c r="E133" s="3468" t="s">
        <v>3651</v>
      </c>
      <c r="F133" s="3516">
        <v>44.95</v>
      </c>
      <c r="G133" s="3469">
        <v>8.18</v>
      </c>
      <c r="H133" s="3470" t="s">
        <v>3557</v>
      </c>
      <c r="I133" s="3549">
        <v>20</v>
      </c>
    </row>
    <row r="134" spans="1:9" s="3472" customFormat="1">
      <c r="A134" s="3916"/>
      <c r="B134" s="3907"/>
      <c r="C134" s="3897"/>
      <c r="D134" s="3920"/>
      <c r="E134" s="3468" t="s">
        <v>4298</v>
      </c>
      <c r="F134" s="3516">
        <v>44.95</v>
      </c>
      <c r="G134" s="3469">
        <v>8.18</v>
      </c>
      <c r="H134" s="3470" t="s">
        <v>3557</v>
      </c>
      <c r="I134" s="3549">
        <v>20</v>
      </c>
    </row>
    <row r="135" spans="1:9" s="3472" customFormat="1">
      <c r="A135" s="3916"/>
      <c r="B135" s="3907"/>
      <c r="C135" s="3897"/>
      <c r="D135" s="3920"/>
      <c r="E135" s="3468" t="s">
        <v>4299</v>
      </c>
      <c r="F135" s="3516">
        <v>44.95</v>
      </c>
      <c r="G135" s="3469">
        <v>8.18</v>
      </c>
      <c r="H135" s="3470" t="s">
        <v>3557</v>
      </c>
      <c r="I135" s="3549">
        <v>20</v>
      </c>
    </row>
    <row r="136" spans="1:9" s="3472" customFormat="1">
      <c r="A136" s="3916"/>
      <c r="B136" s="3907"/>
      <c r="C136" s="3897"/>
      <c r="D136" s="3920"/>
      <c r="E136" s="3468" t="s">
        <v>3652</v>
      </c>
      <c r="F136" s="3516">
        <v>44.95</v>
      </c>
      <c r="G136" s="3469">
        <v>8.18</v>
      </c>
      <c r="H136" s="3470" t="s">
        <v>3557</v>
      </c>
      <c r="I136" s="3549">
        <v>20</v>
      </c>
    </row>
    <row r="137" spans="1:9" s="3472" customFormat="1">
      <c r="A137" s="3916"/>
      <c r="B137" s="3907"/>
      <c r="C137" s="3897"/>
      <c r="D137" s="3920"/>
      <c r="E137" s="3468" t="s">
        <v>4300</v>
      </c>
      <c r="F137" s="3516">
        <v>44.95</v>
      </c>
      <c r="G137" s="3469">
        <v>8.18</v>
      </c>
      <c r="H137" s="3470" t="s">
        <v>3557</v>
      </c>
      <c r="I137" s="3549">
        <v>20</v>
      </c>
    </row>
    <row r="138" spans="1:9" s="3472" customFormat="1">
      <c r="A138" s="3916"/>
      <c r="B138" s="3907"/>
      <c r="C138" s="3897"/>
      <c r="D138" s="3920"/>
      <c r="E138" s="3468" t="s">
        <v>4301</v>
      </c>
      <c r="F138" s="3516">
        <v>44.95</v>
      </c>
      <c r="G138" s="3469">
        <v>8.18</v>
      </c>
      <c r="H138" s="3470" t="s">
        <v>3557</v>
      </c>
      <c r="I138" s="3549">
        <v>20</v>
      </c>
    </row>
    <row r="139" spans="1:9" s="3472" customFormat="1">
      <c r="A139" s="3916"/>
      <c r="B139" s="3907"/>
      <c r="C139" s="3897"/>
      <c r="D139" s="3920"/>
      <c r="E139" s="3468" t="s">
        <v>3653</v>
      </c>
      <c r="F139" s="3516">
        <v>44.95</v>
      </c>
      <c r="G139" s="3469">
        <v>8.18</v>
      </c>
      <c r="H139" s="3470" t="s">
        <v>3557</v>
      </c>
      <c r="I139" s="3549">
        <v>20</v>
      </c>
    </row>
    <row r="140" spans="1:9" s="3472" customFormat="1">
      <c r="A140" s="3916"/>
      <c r="B140" s="3907"/>
      <c r="C140" s="3897"/>
      <c r="D140" s="3920"/>
      <c r="E140" s="3468" t="s">
        <v>3654</v>
      </c>
      <c r="F140" s="3516">
        <v>44.95</v>
      </c>
      <c r="G140" s="3469">
        <v>8.18</v>
      </c>
      <c r="H140" s="3470" t="s">
        <v>3557</v>
      </c>
      <c r="I140" s="3549">
        <v>20</v>
      </c>
    </row>
    <row r="141" spans="1:9" s="3472" customFormat="1">
      <c r="A141" s="3916"/>
      <c r="B141" s="3907"/>
      <c r="C141" s="3897"/>
      <c r="D141" s="3920"/>
      <c r="E141" s="3468" t="s">
        <v>3655</v>
      </c>
      <c r="F141" s="3516">
        <v>49.03</v>
      </c>
      <c r="G141" s="3469">
        <v>8.93</v>
      </c>
      <c r="H141" s="3470" t="s">
        <v>3557</v>
      </c>
      <c r="I141" s="3549">
        <v>22</v>
      </c>
    </row>
    <row r="142" spans="1:9" s="3472" customFormat="1">
      <c r="A142" s="3916"/>
      <c r="B142" s="3907"/>
      <c r="C142" s="3897"/>
      <c r="D142" s="3920"/>
      <c r="E142" s="3468" t="s">
        <v>3656</v>
      </c>
      <c r="F142" s="3516">
        <v>43.89</v>
      </c>
      <c r="G142" s="3469">
        <v>7.99</v>
      </c>
      <c r="H142" s="3470" t="s">
        <v>3557</v>
      </c>
      <c r="I142" s="3549">
        <v>19</v>
      </c>
    </row>
    <row r="143" spans="1:9" s="3472" customFormat="1">
      <c r="A143" s="3916"/>
      <c r="B143" s="3907"/>
      <c r="C143" s="3897"/>
      <c r="D143" s="3920"/>
      <c r="E143" s="3468" t="s">
        <v>4302</v>
      </c>
      <c r="F143" s="3516">
        <v>43.89</v>
      </c>
      <c r="G143" s="3469">
        <v>7.99</v>
      </c>
      <c r="H143" s="3470" t="s">
        <v>3557</v>
      </c>
      <c r="I143" s="3549">
        <v>19</v>
      </c>
    </row>
    <row r="144" spans="1:9" s="3472" customFormat="1">
      <c r="A144" s="3916"/>
      <c r="B144" s="3907"/>
      <c r="C144" s="3897"/>
      <c r="D144" s="3920"/>
      <c r="E144" s="3468" t="s">
        <v>4303</v>
      </c>
      <c r="F144" s="3516">
        <v>43.89</v>
      </c>
      <c r="G144" s="3469">
        <v>7.99</v>
      </c>
      <c r="H144" s="3470" t="s">
        <v>3557</v>
      </c>
      <c r="I144" s="3549">
        <v>19</v>
      </c>
    </row>
    <row r="145" spans="1:9" s="3472" customFormat="1">
      <c r="A145" s="3916"/>
      <c r="B145" s="3907"/>
      <c r="C145" s="3897"/>
      <c r="D145" s="3920"/>
      <c r="E145" s="3468" t="s">
        <v>4304</v>
      </c>
      <c r="F145" s="3516">
        <v>43.89</v>
      </c>
      <c r="G145" s="3469">
        <v>7.99</v>
      </c>
      <c r="H145" s="3470" t="s">
        <v>3557</v>
      </c>
      <c r="I145" s="3549">
        <v>19</v>
      </c>
    </row>
    <row r="146" spans="1:9" s="3472" customFormat="1">
      <c r="A146" s="3916"/>
      <c r="B146" s="3907"/>
      <c r="C146" s="3897"/>
      <c r="D146" s="3920"/>
      <c r="E146" s="3468" t="s">
        <v>4305</v>
      </c>
      <c r="F146" s="3516">
        <v>43.89</v>
      </c>
      <c r="G146" s="3469">
        <v>7.99</v>
      </c>
      <c r="H146" s="3470" t="s">
        <v>3557</v>
      </c>
      <c r="I146" s="3549">
        <v>19</v>
      </c>
    </row>
    <row r="147" spans="1:9" s="3472" customFormat="1">
      <c r="A147" s="3916"/>
      <c r="B147" s="3907"/>
      <c r="C147" s="3897"/>
      <c r="D147" s="3920"/>
      <c r="E147" s="3468" t="s">
        <v>3657</v>
      </c>
      <c r="F147" s="3516">
        <v>89.9</v>
      </c>
      <c r="G147" s="3469">
        <v>16.37</v>
      </c>
      <c r="H147" s="3470" t="s">
        <v>3557</v>
      </c>
      <c r="I147" s="3549">
        <v>40</v>
      </c>
    </row>
    <row r="148" spans="1:9" s="3472" customFormat="1">
      <c r="A148" s="3916"/>
      <c r="B148" s="3918"/>
      <c r="C148" s="3897"/>
      <c r="D148" s="3920"/>
      <c r="E148" s="3468" t="s">
        <v>4306</v>
      </c>
      <c r="F148" s="3516">
        <v>89.9</v>
      </c>
      <c r="G148" s="3469">
        <v>16.37</v>
      </c>
      <c r="H148" s="3470" t="s">
        <v>3557</v>
      </c>
      <c r="I148" s="3549">
        <v>40</v>
      </c>
    </row>
    <row r="149" spans="1:9" s="3472" customFormat="1">
      <c r="A149" s="3916"/>
      <c r="B149" s="3906" t="s">
        <v>3553</v>
      </c>
      <c r="C149" s="3897" t="s">
        <v>3554</v>
      </c>
      <c r="D149" s="3920" t="s">
        <v>3555</v>
      </c>
      <c r="E149" s="3468" t="s">
        <v>4307</v>
      </c>
      <c r="F149" s="3516">
        <v>49.03</v>
      </c>
      <c r="G149" s="3469">
        <v>8.93</v>
      </c>
      <c r="H149" s="3470" t="s">
        <v>3557</v>
      </c>
      <c r="I149" s="3549">
        <v>22</v>
      </c>
    </row>
    <row r="150" spans="1:9" s="3472" customFormat="1">
      <c r="A150" s="3916"/>
      <c r="B150" s="3907"/>
      <c r="C150" s="3897"/>
      <c r="D150" s="3920"/>
      <c r="E150" s="3468" t="s">
        <v>4308</v>
      </c>
      <c r="F150" s="3516">
        <v>49.03</v>
      </c>
      <c r="G150" s="3469">
        <v>8.93</v>
      </c>
      <c r="H150" s="3470" t="s">
        <v>3557</v>
      </c>
      <c r="I150" s="3549">
        <v>22</v>
      </c>
    </row>
    <row r="151" spans="1:9" s="3472" customFormat="1">
      <c r="A151" s="3916"/>
      <c r="B151" s="3907"/>
      <c r="C151" s="3897"/>
      <c r="D151" s="3920"/>
      <c r="E151" s="3468" t="s">
        <v>4309</v>
      </c>
      <c r="F151" s="3516">
        <v>49.03</v>
      </c>
      <c r="G151" s="3469">
        <v>8.93</v>
      </c>
      <c r="H151" s="3470" t="s">
        <v>3557</v>
      </c>
      <c r="I151" s="3549">
        <v>22</v>
      </c>
    </row>
    <row r="152" spans="1:9" s="3472" customFormat="1">
      <c r="A152" s="3916"/>
      <c r="B152" s="3907"/>
      <c r="C152" s="3897"/>
      <c r="D152" s="3920"/>
      <c r="E152" s="3468" t="s">
        <v>3658</v>
      </c>
      <c r="F152" s="3516">
        <v>44.95</v>
      </c>
      <c r="G152" s="3469">
        <v>8.18</v>
      </c>
      <c r="H152" s="3470" t="s">
        <v>3557</v>
      </c>
      <c r="I152" s="3549">
        <v>20</v>
      </c>
    </row>
    <row r="153" spans="1:9" s="3472" customFormat="1">
      <c r="A153" s="3916"/>
      <c r="B153" s="3907"/>
      <c r="C153" s="3897"/>
      <c r="D153" s="3920"/>
      <c r="E153" s="3468" t="s">
        <v>4310</v>
      </c>
      <c r="F153" s="3516">
        <v>44.95</v>
      </c>
      <c r="G153" s="3469">
        <v>8.18</v>
      </c>
      <c r="H153" s="3470" t="s">
        <v>3557</v>
      </c>
      <c r="I153" s="3549">
        <v>20</v>
      </c>
    </row>
    <row r="154" spans="1:9" s="3472" customFormat="1">
      <c r="A154" s="3916"/>
      <c r="B154" s="3907"/>
      <c r="C154" s="3897"/>
      <c r="D154" s="3920"/>
      <c r="E154" s="3468" t="s">
        <v>3659</v>
      </c>
      <c r="F154" s="3516">
        <v>44.95</v>
      </c>
      <c r="G154" s="3469">
        <v>8.18</v>
      </c>
      <c r="H154" s="3470" t="s">
        <v>3557</v>
      </c>
      <c r="I154" s="3549">
        <v>20</v>
      </c>
    </row>
    <row r="155" spans="1:9" s="3472" customFormat="1">
      <c r="A155" s="3916"/>
      <c r="B155" s="3907"/>
      <c r="C155" s="3897"/>
      <c r="D155" s="3920"/>
      <c r="E155" s="3468" t="s">
        <v>4311</v>
      </c>
      <c r="F155" s="3516">
        <v>44.95</v>
      </c>
      <c r="G155" s="3469">
        <v>8.18</v>
      </c>
      <c r="H155" s="3470" t="s">
        <v>3557</v>
      </c>
      <c r="I155" s="3549">
        <v>20</v>
      </c>
    </row>
    <row r="156" spans="1:9" s="3472" customFormat="1">
      <c r="A156" s="3916"/>
      <c r="B156" s="3907"/>
      <c r="C156" s="3897"/>
      <c r="D156" s="3920"/>
      <c r="E156" s="3468" t="s">
        <v>4312</v>
      </c>
      <c r="F156" s="3516">
        <v>44.95</v>
      </c>
      <c r="G156" s="3469">
        <v>8.18</v>
      </c>
      <c r="H156" s="3470" t="s">
        <v>3557</v>
      </c>
      <c r="I156" s="3549">
        <v>20</v>
      </c>
    </row>
    <row r="157" spans="1:9" s="3472" customFormat="1">
      <c r="A157" s="3916"/>
      <c r="B157" s="3907"/>
      <c r="C157" s="3897"/>
      <c r="D157" s="3920"/>
      <c r="E157" s="3468" t="s">
        <v>4313</v>
      </c>
      <c r="F157" s="3516">
        <v>44.95</v>
      </c>
      <c r="G157" s="3469">
        <v>8.18</v>
      </c>
      <c r="H157" s="3470" t="s">
        <v>3557</v>
      </c>
      <c r="I157" s="3549">
        <v>20</v>
      </c>
    </row>
    <row r="158" spans="1:9" s="3472" customFormat="1">
      <c r="A158" s="3916"/>
      <c r="B158" s="3907"/>
      <c r="C158" s="3897"/>
      <c r="D158" s="3920"/>
      <c r="E158" s="3468" t="s">
        <v>4314</v>
      </c>
      <c r="F158" s="3516">
        <v>44.95</v>
      </c>
      <c r="G158" s="3469">
        <v>8.18</v>
      </c>
      <c r="H158" s="3470" t="s">
        <v>3557</v>
      </c>
      <c r="I158" s="3549">
        <v>20</v>
      </c>
    </row>
    <row r="159" spans="1:9" s="3472" customFormat="1">
      <c r="A159" s="3916"/>
      <c r="B159" s="3907"/>
      <c r="C159" s="3897"/>
      <c r="D159" s="3920"/>
      <c r="E159" s="3468" t="s">
        <v>4315</v>
      </c>
      <c r="F159" s="3516">
        <v>44.95</v>
      </c>
      <c r="G159" s="3469">
        <v>8.18</v>
      </c>
      <c r="H159" s="3470" t="s">
        <v>3557</v>
      </c>
      <c r="I159" s="3549">
        <v>20</v>
      </c>
    </row>
    <row r="160" spans="1:9" s="3472" customFormat="1">
      <c r="A160" s="3916"/>
      <c r="B160" s="3907"/>
      <c r="C160" s="3897"/>
      <c r="D160" s="3920"/>
      <c r="E160" s="3606" t="s">
        <v>4316</v>
      </c>
      <c r="F160" s="3607">
        <v>44.95</v>
      </c>
      <c r="G160" s="3469">
        <v>8.18</v>
      </c>
      <c r="H160" s="3470" t="s">
        <v>3557</v>
      </c>
      <c r="I160" s="3549">
        <v>20</v>
      </c>
    </row>
    <row r="161" spans="1:9" s="3472" customFormat="1">
      <c r="A161" s="3916"/>
      <c r="B161" s="3907"/>
      <c r="C161" s="3897"/>
      <c r="D161" s="3920"/>
      <c r="E161" s="3605" t="s">
        <v>4317</v>
      </c>
      <c r="F161" s="3516">
        <v>49.03</v>
      </c>
      <c r="G161" s="3469">
        <v>8.93</v>
      </c>
      <c r="H161" s="3470" t="s">
        <v>3557</v>
      </c>
      <c r="I161" s="3549">
        <v>22</v>
      </c>
    </row>
    <row r="162" spans="1:9" s="3472" customFormat="1">
      <c r="A162" s="3916"/>
      <c r="B162" s="3907"/>
      <c r="C162" s="3897"/>
      <c r="D162" s="3920"/>
      <c r="E162" s="3605" t="s">
        <v>3660</v>
      </c>
      <c r="F162" s="3607">
        <v>44.95</v>
      </c>
      <c r="G162" s="3469">
        <v>8.18</v>
      </c>
      <c r="H162" s="3470" t="s">
        <v>3557</v>
      </c>
      <c r="I162" s="3549">
        <v>20</v>
      </c>
    </row>
    <row r="163" spans="1:9" s="3472" customFormat="1">
      <c r="A163" s="3916"/>
      <c r="B163" s="3907"/>
      <c r="C163" s="3897"/>
      <c r="D163" s="3920"/>
      <c r="E163" s="3605" t="s">
        <v>3661</v>
      </c>
      <c r="F163" s="3516">
        <v>44.95</v>
      </c>
      <c r="G163" s="3469">
        <v>8.18</v>
      </c>
      <c r="H163" s="3470" t="s">
        <v>3557</v>
      </c>
      <c r="I163" s="3549">
        <v>20</v>
      </c>
    </row>
    <row r="164" spans="1:9" s="3472" customFormat="1">
      <c r="A164" s="3916"/>
      <c r="B164" s="3907"/>
      <c r="C164" s="3897"/>
      <c r="D164" s="3920"/>
      <c r="E164" s="3605" t="s">
        <v>3662</v>
      </c>
      <c r="F164" s="3516">
        <v>44.95</v>
      </c>
      <c r="G164" s="3469">
        <v>8.18</v>
      </c>
      <c r="H164" s="3470" t="s">
        <v>3557</v>
      </c>
      <c r="I164" s="3549">
        <v>20</v>
      </c>
    </row>
    <row r="165" spans="1:9" s="3472" customFormat="1">
      <c r="A165" s="3916"/>
      <c r="B165" s="3907"/>
      <c r="C165" s="3897"/>
      <c r="D165" s="3920"/>
      <c r="E165" s="3605" t="s">
        <v>3663</v>
      </c>
      <c r="F165" s="3516">
        <v>44.95</v>
      </c>
      <c r="G165" s="3469">
        <v>8.18</v>
      </c>
      <c r="H165" s="3470" t="s">
        <v>3557</v>
      </c>
      <c r="I165" s="3549">
        <v>20</v>
      </c>
    </row>
    <row r="166" spans="1:9" s="3472" customFormat="1">
      <c r="A166" s="3916"/>
      <c r="B166" s="3907"/>
      <c r="C166" s="3897"/>
      <c r="D166" s="3920"/>
      <c r="E166" s="3605" t="s">
        <v>3664</v>
      </c>
      <c r="F166" s="3516">
        <v>44.95</v>
      </c>
      <c r="G166" s="3469">
        <v>8.18</v>
      </c>
      <c r="H166" s="3470" t="s">
        <v>3557</v>
      </c>
      <c r="I166" s="3549">
        <v>20</v>
      </c>
    </row>
    <row r="167" spans="1:9" s="3472" customFormat="1">
      <c r="A167" s="3916"/>
      <c r="B167" s="3907"/>
      <c r="C167" s="3897"/>
      <c r="D167" s="3920"/>
      <c r="E167" s="3605" t="s">
        <v>3665</v>
      </c>
      <c r="F167" s="3516">
        <v>44.95</v>
      </c>
      <c r="G167" s="3469">
        <v>8.18</v>
      </c>
      <c r="H167" s="3470" t="s">
        <v>3557</v>
      </c>
      <c r="I167" s="3549">
        <v>20</v>
      </c>
    </row>
    <row r="168" spans="1:9" s="3472" customFormat="1">
      <c r="A168" s="3916"/>
      <c r="B168" s="3907"/>
      <c r="C168" s="3897"/>
      <c r="D168" s="3920"/>
      <c r="E168" s="3605" t="s">
        <v>3666</v>
      </c>
      <c r="F168" s="3516">
        <v>44.95</v>
      </c>
      <c r="G168" s="3469">
        <v>8.18</v>
      </c>
      <c r="H168" s="3470" t="s">
        <v>3557</v>
      </c>
      <c r="I168" s="3549">
        <v>20</v>
      </c>
    </row>
    <row r="169" spans="1:9" s="3472" customFormat="1">
      <c r="A169" s="3916"/>
      <c r="B169" s="3907"/>
      <c r="C169" s="3897"/>
      <c r="D169" s="3920"/>
      <c r="E169" s="3605" t="s">
        <v>3667</v>
      </c>
      <c r="F169" s="3516">
        <v>44.95</v>
      </c>
      <c r="G169" s="3469">
        <v>8.18</v>
      </c>
      <c r="H169" s="3470" t="s">
        <v>3557</v>
      </c>
      <c r="I169" s="3549">
        <v>20</v>
      </c>
    </row>
    <row r="170" spans="1:9" s="3472" customFormat="1">
      <c r="A170" s="3916"/>
      <c r="B170" s="3907"/>
      <c r="C170" s="3897"/>
      <c r="D170" s="3920"/>
      <c r="E170" s="3605" t="s">
        <v>4318</v>
      </c>
      <c r="F170" s="3516">
        <v>44.95</v>
      </c>
      <c r="G170" s="3469">
        <v>8.18</v>
      </c>
      <c r="H170" s="3470" t="s">
        <v>3557</v>
      </c>
      <c r="I170" s="3549">
        <v>20</v>
      </c>
    </row>
    <row r="171" spans="1:9" s="3472" customFormat="1">
      <c r="A171" s="3916"/>
      <c r="B171" s="3907"/>
      <c r="C171" s="3897"/>
      <c r="D171" s="3920"/>
      <c r="E171" s="3605" t="s">
        <v>4319</v>
      </c>
      <c r="F171" s="3516">
        <v>44.95</v>
      </c>
      <c r="G171" s="3469">
        <v>8.18</v>
      </c>
      <c r="H171" s="3470" t="s">
        <v>3557</v>
      </c>
      <c r="I171" s="3549">
        <v>20</v>
      </c>
    </row>
    <row r="172" spans="1:9" s="3472" customFormat="1">
      <c r="A172" s="3916"/>
      <c r="B172" s="3907"/>
      <c r="C172" s="3897"/>
      <c r="D172" s="3920"/>
      <c r="E172" s="3605" t="s">
        <v>4320</v>
      </c>
      <c r="F172" s="3516">
        <v>49.03</v>
      </c>
      <c r="G172" s="3469">
        <v>8.93</v>
      </c>
      <c r="H172" s="3470" t="s">
        <v>3557</v>
      </c>
      <c r="I172" s="3549">
        <v>22</v>
      </c>
    </row>
    <row r="173" spans="1:9" s="3472" customFormat="1">
      <c r="A173" s="3916"/>
      <c r="B173" s="3907"/>
      <c r="C173" s="3897"/>
      <c r="D173" s="3920"/>
      <c r="E173" s="3605" t="s">
        <v>4321</v>
      </c>
      <c r="F173" s="3516">
        <v>49.03</v>
      </c>
      <c r="G173" s="3469">
        <v>8.93</v>
      </c>
      <c r="H173" s="3470" t="s">
        <v>3557</v>
      </c>
      <c r="I173" s="3549">
        <v>22</v>
      </c>
    </row>
    <row r="174" spans="1:9" s="3472" customFormat="1">
      <c r="A174" s="3916"/>
      <c r="B174" s="3907"/>
      <c r="C174" s="3897"/>
      <c r="D174" s="3920"/>
      <c r="E174" s="3605" t="s">
        <v>4322</v>
      </c>
      <c r="F174" s="3516">
        <v>44.95</v>
      </c>
      <c r="G174" s="3469">
        <v>8.18</v>
      </c>
      <c r="H174" s="3470" t="s">
        <v>3557</v>
      </c>
      <c r="I174" s="3549">
        <v>20</v>
      </c>
    </row>
    <row r="175" spans="1:9" s="3472" customFormat="1">
      <c r="A175" s="3916"/>
      <c r="B175" s="3907"/>
      <c r="C175" s="3897"/>
      <c r="D175" s="3920"/>
      <c r="E175" s="3605" t="s">
        <v>3668</v>
      </c>
      <c r="F175" s="3516">
        <v>44.95</v>
      </c>
      <c r="G175" s="3469">
        <v>8.18</v>
      </c>
      <c r="H175" s="3470" t="s">
        <v>3557</v>
      </c>
      <c r="I175" s="3549">
        <v>20</v>
      </c>
    </row>
    <row r="176" spans="1:9" s="3472" customFormat="1">
      <c r="A176" s="3916"/>
      <c r="B176" s="3907"/>
      <c r="C176" s="3897"/>
      <c r="D176" s="3920"/>
      <c r="E176" s="3605" t="s">
        <v>4323</v>
      </c>
      <c r="F176" s="3516">
        <v>44.95</v>
      </c>
      <c r="G176" s="3469">
        <v>8.18</v>
      </c>
      <c r="H176" s="3470" t="s">
        <v>3557</v>
      </c>
      <c r="I176" s="3549">
        <v>20</v>
      </c>
    </row>
    <row r="177" spans="1:9" s="3472" customFormat="1">
      <c r="A177" s="3916"/>
      <c r="B177" s="3907"/>
      <c r="C177" s="3897"/>
      <c r="D177" s="3920"/>
      <c r="E177" s="3605" t="s">
        <v>3669</v>
      </c>
      <c r="F177" s="3516">
        <v>44.95</v>
      </c>
      <c r="G177" s="3469">
        <v>8.18</v>
      </c>
      <c r="H177" s="3470" t="s">
        <v>3557</v>
      </c>
      <c r="I177" s="3549">
        <v>20</v>
      </c>
    </row>
    <row r="178" spans="1:9" s="3472" customFormat="1">
      <c r="A178" s="3916"/>
      <c r="B178" s="3907"/>
      <c r="C178" s="3897"/>
      <c r="D178" s="3920"/>
      <c r="E178" s="3605" t="s">
        <v>3670</v>
      </c>
      <c r="F178" s="3516">
        <v>44.95</v>
      </c>
      <c r="G178" s="3469">
        <v>8.18</v>
      </c>
      <c r="H178" s="3470" t="s">
        <v>3557</v>
      </c>
      <c r="I178" s="3549">
        <v>20</v>
      </c>
    </row>
    <row r="179" spans="1:9" s="3472" customFormat="1">
      <c r="A179" s="3916"/>
      <c r="B179" s="3907"/>
      <c r="C179" s="3897"/>
      <c r="D179" s="3920"/>
      <c r="E179" s="3605" t="s">
        <v>3671</v>
      </c>
      <c r="F179" s="3516">
        <v>44.95</v>
      </c>
      <c r="G179" s="3469">
        <v>8.18</v>
      </c>
      <c r="H179" s="3470" t="s">
        <v>3557</v>
      </c>
      <c r="I179" s="3549">
        <v>20</v>
      </c>
    </row>
    <row r="180" spans="1:9" s="3472" customFormat="1">
      <c r="A180" s="3916"/>
      <c r="B180" s="3907"/>
      <c r="C180" s="3897"/>
      <c r="D180" s="3920"/>
      <c r="E180" s="3605" t="s">
        <v>3672</v>
      </c>
      <c r="F180" s="3516">
        <v>44.95</v>
      </c>
      <c r="G180" s="3469">
        <v>8.18</v>
      </c>
      <c r="H180" s="3470" t="s">
        <v>3557</v>
      </c>
      <c r="I180" s="3549">
        <v>20</v>
      </c>
    </row>
    <row r="181" spans="1:9" s="3472" customFormat="1">
      <c r="A181" s="3916"/>
      <c r="B181" s="3907"/>
      <c r="C181" s="3897"/>
      <c r="D181" s="3920"/>
      <c r="E181" s="3605" t="s">
        <v>3673</v>
      </c>
      <c r="F181" s="3516">
        <v>44.95</v>
      </c>
      <c r="G181" s="3469">
        <v>8.18</v>
      </c>
      <c r="H181" s="3470" t="s">
        <v>3557</v>
      </c>
      <c r="I181" s="3549">
        <v>20</v>
      </c>
    </row>
    <row r="182" spans="1:9" s="3472" customFormat="1">
      <c r="A182" s="3916"/>
      <c r="B182" s="3907"/>
      <c r="C182" s="3897"/>
      <c r="D182" s="3920"/>
      <c r="E182" s="3605" t="s">
        <v>3674</v>
      </c>
      <c r="F182" s="3516">
        <v>44.95</v>
      </c>
      <c r="G182" s="3469">
        <v>8.18</v>
      </c>
      <c r="H182" s="3470" t="s">
        <v>3557</v>
      </c>
      <c r="I182" s="3549">
        <v>20</v>
      </c>
    </row>
    <row r="183" spans="1:9" s="3472" customFormat="1">
      <c r="A183" s="3916"/>
      <c r="B183" s="3907"/>
      <c r="C183" s="3897"/>
      <c r="D183" s="3920"/>
      <c r="E183" s="3468" t="s">
        <v>3675</v>
      </c>
      <c r="F183" s="3516">
        <v>44.95</v>
      </c>
      <c r="G183" s="3469">
        <v>8.18</v>
      </c>
      <c r="H183" s="3470" t="s">
        <v>3557</v>
      </c>
      <c r="I183" s="3549">
        <v>20</v>
      </c>
    </row>
    <row r="184" spans="1:9" s="3472" customFormat="1">
      <c r="A184" s="3916"/>
      <c r="B184" s="3907"/>
      <c r="C184" s="3897"/>
      <c r="D184" s="3920"/>
      <c r="E184" s="3468" t="s">
        <v>3676</v>
      </c>
      <c r="F184" s="3516">
        <v>44.95</v>
      </c>
      <c r="G184" s="3469">
        <v>8.18</v>
      </c>
      <c r="H184" s="3470" t="s">
        <v>3557</v>
      </c>
      <c r="I184" s="3549">
        <v>20</v>
      </c>
    </row>
    <row r="185" spans="1:9" s="3472" customFormat="1">
      <c r="A185" s="3916"/>
      <c r="B185" s="3918"/>
      <c r="C185" s="3897"/>
      <c r="D185" s="3920"/>
      <c r="E185" s="3468" t="s">
        <v>3677</v>
      </c>
      <c r="F185" s="3516">
        <v>44.95</v>
      </c>
      <c r="G185" s="3469">
        <v>8.18</v>
      </c>
      <c r="H185" s="3470" t="s">
        <v>3557</v>
      </c>
      <c r="I185" s="3549">
        <v>20</v>
      </c>
    </row>
    <row r="186" spans="1:9" s="3472" customFormat="1">
      <c r="A186" s="3916"/>
      <c r="B186" s="3906" t="s">
        <v>3553</v>
      </c>
      <c r="C186" s="3897" t="s">
        <v>3554</v>
      </c>
      <c r="D186" s="3920" t="s">
        <v>3555</v>
      </c>
      <c r="E186" s="3468" t="s">
        <v>3678</v>
      </c>
      <c r="F186" s="3516">
        <v>44.95</v>
      </c>
      <c r="G186" s="3469">
        <v>8.18</v>
      </c>
      <c r="H186" s="3470" t="s">
        <v>3557</v>
      </c>
      <c r="I186" s="3549">
        <v>20</v>
      </c>
    </row>
    <row r="187" spans="1:9" s="3472" customFormat="1">
      <c r="A187" s="3916"/>
      <c r="B187" s="3907"/>
      <c r="C187" s="3897"/>
      <c r="D187" s="3920"/>
      <c r="E187" s="3468" t="s">
        <v>3679</v>
      </c>
      <c r="F187" s="3516">
        <v>44.95</v>
      </c>
      <c r="G187" s="3469">
        <v>8.18</v>
      </c>
      <c r="H187" s="3470" t="s">
        <v>3557</v>
      </c>
      <c r="I187" s="3549">
        <v>20</v>
      </c>
    </row>
    <row r="188" spans="1:9" s="3472" customFormat="1">
      <c r="A188" s="3916"/>
      <c r="B188" s="3907"/>
      <c r="C188" s="3897"/>
      <c r="D188" s="3920"/>
      <c r="E188" s="3468" t="s">
        <v>3680</v>
      </c>
      <c r="F188" s="3516">
        <v>44.95</v>
      </c>
      <c r="G188" s="3469">
        <v>8.18</v>
      </c>
      <c r="H188" s="3470" t="s">
        <v>3557</v>
      </c>
      <c r="I188" s="3549">
        <v>20</v>
      </c>
    </row>
    <row r="189" spans="1:9" s="3472" customFormat="1">
      <c r="A189" s="3916"/>
      <c r="B189" s="3907"/>
      <c r="C189" s="3897"/>
      <c r="D189" s="3920"/>
      <c r="E189" s="3605" t="s">
        <v>3681</v>
      </c>
      <c r="F189" s="3516">
        <v>44.95</v>
      </c>
      <c r="G189" s="3469">
        <v>8.18</v>
      </c>
      <c r="H189" s="3470" t="s">
        <v>3557</v>
      </c>
      <c r="I189" s="3549">
        <v>20</v>
      </c>
    </row>
    <row r="190" spans="1:9" s="3472" customFormat="1">
      <c r="A190" s="3916"/>
      <c r="B190" s="3907"/>
      <c r="C190" s="3897"/>
      <c r="D190" s="3920"/>
      <c r="E190" s="3605" t="s">
        <v>3682</v>
      </c>
      <c r="F190" s="3516">
        <v>44.95</v>
      </c>
      <c r="G190" s="3469">
        <v>8.18</v>
      </c>
      <c r="H190" s="3470" t="s">
        <v>3557</v>
      </c>
      <c r="I190" s="3549">
        <v>20</v>
      </c>
    </row>
    <row r="191" spans="1:9" s="3472" customFormat="1">
      <c r="A191" s="3916"/>
      <c r="B191" s="3907"/>
      <c r="C191" s="3897"/>
      <c r="D191" s="3920"/>
      <c r="E191" s="3605" t="s">
        <v>4324</v>
      </c>
      <c r="F191" s="3516">
        <v>44.95</v>
      </c>
      <c r="G191" s="3469">
        <v>8.18</v>
      </c>
      <c r="H191" s="3470" t="s">
        <v>3557</v>
      </c>
      <c r="I191" s="3549">
        <v>20</v>
      </c>
    </row>
    <row r="192" spans="1:9" s="3472" customFormat="1">
      <c r="A192" s="3916"/>
      <c r="B192" s="3907"/>
      <c r="C192" s="3897"/>
      <c r="D192" s="3920"/>
      <c r="E192" s="3605" t="s">
        <v>4325</v>
      </c>
      <c r="F192" s="3516">
        <v>44.95</v>
      </c>
      <c r="G192" s="3469">
        <v>8.18</v>
      </c>
      <c r="H192" s="3470" t="s">
        <v>3557</v>
      </c>
      <c r="I192" s="3549">
        <v>20</v>
      </c>
    </row>
    <row r="193" spans="1:9" s="3472" customFormat="1">
      <c r="A193" s="3916"/>
      <c r="B193" s="3907"/>
      <c r="C193" s="3897"/>
      <c r="D193" s="3920"/>
      <c r="E193" s="3605" t="s">
        <v>4326</v>
      </c>
      <c r="F193" s="3516">
        <v>44.95</v>
      </c>
      <c r="G193" s="3469">
        <v>8.18</v>
      </c>
      <c r="H193" s="3470" t="s">
        <v>3557</v>
      </c>
      <c r="I193" s="3549">
        <v>20</v>
      </c>
    </row>
    <row r="194" spans="1:9" s="3472" customFormat="1">
      <c r="A194" s="3916"/>
      <c r="B194" s="3907"/>
      <c r="C194" s="3897"/>
      <c r="D194" s="3920"/>
      <c r="E194" s="3605" t="s">
        <v>3683</v>
      </c>
      <c r="F194" s="3516">
        <v>44.95</v>
      </c>
      <c r="G194" s="3469">
        <v>8.18</v>
      </c>
      <c r="H194" s="3470" t="s">
        <v>3557</v>
      </c>
      <c r="I194" s="3549">
        <v>20</v>
      </c>
    </row>
    <row r="195" spans="1:9" s="3472" customFormat="1">
      <c r="A195" s="3916"/>
      <c r="B195" s="3907"/>
      <c r="C195" s="3897"/>
      <c r="D195" s="3920"/>
      <c r="E195" s="3605" t="s">
        <v>3684</v>
      </c>
      <c r="F195" s="3516">
        <v>44.95</v>
      </c>
      <c r="G195" s="3469">
        <v>8.18</v>
      </c>
      <c r="H195" s="3470" t="s">
        <v>3557</v>
      </c>
      <c r="I195" s="3549">
        <v>20</v>
      </c>
    </row>
    <row r="196" spans="1:9" s="3472" customFormat="1">
      <c r="A196" s="3916"/>
      <c r="B196" s="3907"/>
      <c r="C196" s="3897"/>
      <c r="D196" s="3920"/>
      <c r="E196" s="3605" t="s">
        <v>3685</v>
      </c>
      <c r="F196" s="3516">
        <v>44.95</v>
      </c>
      <c r="G196" s="3469">
        <v>8.18</v>
      </c>
      <c r="H196" s="3470" t="s">
        <v>3557</v>
      </c>
      <c r="I196" s="3549">
        <v>20</v>
      </c>
    </row>
    <row r="197" spans="1:9" s="3472" customFormat="1">
      <c r="A197" s="3916"/>
      <c r="B197" s="3907"/>
      <c r="C197" s="3897"/>
      <c r="D197" s="3920"/>
      <c r="E197" s="3605" t="s">
        <v>4327</v>
      </c>
      <c r="F197" s="3516">
        <v>73.14</v>
      </c>
      <c r="G197" s="3469">
        <v>13.32</v>
      </c>
      <c r="H197" s="3470" t="s">
        <v>3557</v>
      </c>
      <c r="I197" s="3549">
        <v>31</v>
      </c>
    </row>
    <row r="198" spans="1:9" s="3472" customFormat="1">
      <c r="A198" s="3916"/>
      <c r="B198" s="3907"/>
      <c r="C198" s="3897"/>
      <c r="D198" s="3920"/>
      <c r="E198" s="3605" t="s">
        <v>4328</v>
      </c>
      <c r="F198" s="3516">
        <v>44.95</v>
      </c>
      <c r="G198" s="3469">
        <v>8.18</v>
      </c>
      <c r="H198" s="3470" t="s">
        <v>3557</v>
      </c>
      <c r="I198" s="3549">
        <v>20</v>
      </c>
    </row>
    <row r="199" spans="1:9" s="3472" customFormat="1">
      <c r="A199" s="3916"/>
      <c r="B199" s="3907"/>
      <c r="C199" s="3897"/>
      <c r="D199" s="3920"/>
      <c r="E199" s="3605" t="s">
        <v>3686</v>
      </c>
      <c r="F199" s="3516">
        <v>44.95</v>
      </c>
      <c r="G199" s="3469">
        <v>8.18</v>
      </c>
      <c r="H199" s="3470" t="s">
        <v>3557</v>
      </c>
      <c r="I199" s="3549">
        <v>20</v>
      </c>
    </row>
    <row r="200" spans="1:9" s="3472" customFormat="1">
      <c r="A200" s="3916"/>
      <c r="B200" s="3907"/>
      <c r="C200" s="3897"/>
      <c r="D200" s="3920"/>
      <c r="E200" s="3605" t="s">
        <v>3687</v>
      </c>
      <c r="F200" s="3516">
        <v>44.95</v>
      </c>
      <c r="G200" s="3469">
        <v>8.18</v>
      </c>
      <c r="H200" s="3470" t="s">
        <v>3557</v>
      </c>
      <c r="I200" s="3549">
        <v>20</v>
      </c>
    </row>
    <row r="201" spans="1:9" s="3472" customFormat="1">
      <c r="A201" s="3916"/>
      <c r="B201" s="3907"/>
      <c r="C201" s="3897"/>
      <c r="D201" s="3920"/>
      <c r="E201" s="3468" t="s">
        <v>3688</v>
      </c>
      <c r="F201" s="3516">
        <v>44.95</v>
      </c>
      <c r="G201" s="3469">
        <v>8.18</v>
      </c>
      <c r="H201" s="3470" t="s">
        <v>3557</v>
      </c>
      <c r="I201" s="3549">
        <v>20</v>
      </c>
    </row>
    <row r="202" spans="1:9" s="3472" customFormat="1">
      <c r="A202" s="3916"/>
      <c r="B202" s="3907"/>
      <c r="C202" s="3897"/>
      <c r="D202" s="3920"/>
      <c r="E202" s="3468" t="s">
        <v>3689</v>
      </c>
      <c r="F202" s="3516">
        <v>44.95</v>
      </c>
      <c r="G202" s="3469">
        <v>8.18</v>
      </c>
      <c r="H202" s="3470" t="s">
        <v>3557</v>
      </c>
      <c r="I202" s="3549">
        <v>20</v>
      </c>
    </row>
    <row r="203" spans="1:9" s="3472" customFormat="1">
      <c r="A203" s="3916"/>
      <c r="B203" s="3907"/>
      <c r="C203" s="3897"/>
      <c r="D203" s="3920"/>
      <c r="E203" s="3468" t="s">
        <v>4329</v>
      </c>
      <c r="F203" s="3516">
        <v>44.95</v>
      </c>
      <c r="G203" s="3469">
        <v>8.18</v>
      </c>
      <c r="H203" s="3470" t="s">
        <v>3557</v>
      </c>
      <c r="I203" s="3549">
        <v>20</v>
      </c>
    </row>
    <row r="204" spans="1:9" s="3472" customFormat="1">
      <c r="A204" s="3916"/>
      <c r="B204" s="3907"/>
      <c r="C204" s="3897"/>
      <c r="D204" s="3920"/>
      <c r="E204" s="3468" t="s">
        <v>3690</v>
      </c>
      <c r="F204" s="3516">
        <v>44.95</v>
      </c>
      <c r="G204" s="3469">
        <v>8.18</v>
      </c>
      <c r="H204" s="3470" t="s">
        <v>3557</v>
      </c>
      <c r="I204" s="3549">
        <v>20</v>
      </c>
    </row>
    <row r="205" spans="1:9" s="3472" customFormat="1">
      <c r="A205" s="3916"/>
      <c r="B205" s="3907"/>
      <c r="C205" s="3897"/>
      <c r="D205" s="3920"/>
      <c r="E205" s="3468" t="s">
        <v>3691</v>
      </c>
      <c r="F205" s="3516">
        <v>44.95</v>
      </c>
      <c r="G205" s="3469">
        <v>8.18</v>
      </c>
      <c r="H205" s="3470" t="s">
        <v>3557</v>
      </c>
      <c r="I205" s="3549">
        <v>20</v>
      </c>
    </row>
    <row r="206" spans="1:9" s="3472" customFormat="1">
      <c r="A206" s="3916"/>
      <c r="B206" s="3907"/>
      <c r="C206" s="3897"/>
      <c r="D206" s="3920"/>
      <c r="E206" s="3468" t="s">
        <v>3692</v>
      </c>
      <c r="F206" s="3516">
        <v>44.95</v>
      </c>
      <c r="G206" s="3469">
        <v>8.18</v>
      </c>
      <c r="H206" s="3470" t="s">
        <v>3557</v>
      </c>
      <c r="I206" s="3549">
        <v>20</v>
      </c>
    </row>
    <row r="207" spans="1:9" s="3472" customFormat="1">
      <c r="A207" s="3916"/>
      <c r="B207" s="3907"/>
      <c r="C207" s="3897"/>
      <c r="D207" s="3920"/>
      <c r="E207" s="3605" t="s">
        <v>4330</v>
      </c>
      <c r="F207" s="3516">
        <v>44.95</v>
      </c>
      <c r="G207" s="3469">
        <v>8.18</v>
      </c>
      <c r="H207" s="3470" t="s">
        <v>3557</v>
      </c>
      <c r="I207" s="3549">
        <v>20</v>
      </c>
    </row>
    <row r="208" spans="1:9" s="3472" customFormat="1">
      <c r="A208" s="3916"/>
      <c r="B208" s="3907"/>
      <c r="C208" s="3897"/>
      <c r="D208" s="3920"/>
      <c r="E208" s="3605" t="s">
        <v>4331</v>
      </c>
      <c r="F208" s="3516">
        <v>44.95</v>
      </c>
      <c r="G208" s="3469">
        <v>8.18</v>
      </c>
      <c r="H208" s="3470" t="s">
        <v>3557</v>
      </c>
      <c r="I208" s="3549">
        <v>20</v>
      </c>
    </row>
    <row r="209" spans="1:9" s="3472" customFormat="1">
      <c r="A209" s="3916"/>
      <c r="B209" s="3907"/>
      <c r="C209" s="3897"/>
      <c r="D209" s="3920"/>
      <c r="E209" s="3605" t="s">
        <v>4332</v>
      </c>
      <c r="F209" s="3516">
        <v>44.95</v>
      </c>
      <c r="G209" s="3469">
        <v>8.18</v>
      </c>
      <c r="H209" s="3470" t="s">
        <v>3557</v>
      </c>
      <c r="I209" s="3549">
        <v>20</v>
      </c>
    </row>
    <row r="210" spans="1:9" s="3472" customFormat="1">
      <c r="A210" s="3916"/>
      <c r="B210" s="3907"/>
      <c r="C210" s="3897"/>
      <c r="D210" s="3920"/>
      <c r="E210" s="3468" t="s">
        <v>4333</v>
      </c>
      <c r="F210" s="3516">
        <v>44.95</v>
      </c>
      <c r="G210" s="3469">
        <v>8.18</v>
      </c>
      <c r="H210" s="3470" t="s">
        <v>3557</v>
      </c>
      <c r="I210" s="3549">
        <v>20</v>
      </c>
    </row>
    <row r="211" spans="1:9" s="3472" customFormat="1">
      <c r="A211" s="3916"/>
      <c r="B211" s="3907"/>
      <c r="C211" s="3897"/>
      <c r="D211" s="3920"/>
      <c r="E211" s="3468" t="s">
        <v>4334</v>
      </c>
      <c r="F211" s="3516">
        <v>44.95</v>
      </c>
      <c r="G211" s="3469">
        <v>8.18</v>
      </c>
      <c r="H211" s="3470" t="s">
        <v>3557</v>
      </c>
      <c r="I211" s="3549">
        <v>20</v>
      </c>
    </row>
    <row r="212" spans="1:9" s="3472" customFormat="1">
      <c r="A212" s="3916"/>
      <c r="B212" s="3907"/>
      <c r="C212" s="3897"/>
      <c r="D212" s="3920"/>
      <c r="E212" s="3468" t="s">
        <v>4335</v>
      </c>
      <c r="F212" s="3516">
        <v>73.14</v>
      </c>
      <c r="G212" s="3469">
        <v>13.32</v>
      </c>
      <c r="H212" s="3470" t="s">
        <v>3557</v>
      </c>
      <c r="I212" s="3549">
        <v>31</v>
      </c>
    </row>
    <row r="213" spans="1:9" s="3472" customFormat="1">
      <c r="A213" s="3916"/>
      <c r="B213" s="3907"/>
      <c r="C213" s="3897"/>
      <c r="D213" s="3920"/>
      <c r="E213" s="3468" t="s">
        <v>3693</v>
      </c>
      <c r="F213" s="3516">
        <v>44.95</v>
      </c>
      <c r="G213" s="3469">
        <v>8.18</v>
      </c>
      <c r="H213" s="3470" t="s">
        <v>3557</v>
      </c>
      <c r="I213" s="3549">
        <v>20</v>
      </c>
    </row>
    <row r="214" spans="1:9" s="3472" customFormat="1">
      <c r="A214" s="3916"/>
      <c r="B214" s="3907"/>
      <c r="C214" s="3897"/>
      <c r="D214" s="3920"/>
      <c r="E214" s="3468" t="s">
        <v>4336</v>
      </c>
      <c r="F214" s="3516">
        <v>44.95</v>
      </c>
      <c r="G214" s="3469">
        <v>8.18</v>
      </c>
      <c r="H214" s="3470" t="s">
        <v>3557</v>
      </c>
      <c r="I214" s="3549">
        <v>20</v>
      </c>
    </row>
    <row r="215" spans="1:9" s="3472" customFormat="1">
      <c r="A215" s="3916"/>
      <c r="B215" s="3907"/>
      <c r="C215" s="3897"/>
      <c r="D215" s="3920"/>
      <c r="E215" s="3468" t="s">
        <v>4337</v>
      </c>
      <c r="F215" s="3516">
        <v>44.95</v>
      </c>
      <c r="G215" s="3469">
        <v>8.18</v>
      </c>
      <c r="H215" s="3470" t="s">
        <v>3557</v>
      </c>
      <c r="I215" s="3549">
        <v>20</v>
      </c>
    </row>
    <row r="216" spans="1:9" s="3472" customFormat="1">
      <c r="A216" s="3916"/>
      <c r="B216" s="3907"/>
      <c r="C216" s="3897"/>
      <c r="D216" s="3920"/>
      <c r="E216" s="3468" t="s">
        <v>3694</v>
      </c>
      <c r="F216" s="3516">
        <v>44.95</v>
      </c>
      <c r="G216" s="3469">
        <v>8.18</v>
      </c>
      <c r="H216" s="3470" t="s">
        <v>3557</v>
      </c>
      <c r="I216" s="3549">
        <v>20</v>
      </c>
    </row>
    <row r="217" spans="1:9" s="3472" customFormat="1">
      <c r="A217" s="3916"/>
      <c r="B217" s="3907"/>
      <c r="C217" s="3897"/>
      <c r="D217" s="3920"/>
      <c r="E217" s="3468" t="s">
        <v>4338</v>
      </c>
      <c r="F217" s="3516">
        <v>89.9</v>
      </c>
      <c r="G217" s="3469">
        <v>16.37</v>
      </c>
      <c r="H217" s="3470" t="s">
        <v>3557</v>
      </c>
      <c r="I217" s="3549">
        <v>40</v>
      </c>
    </row>
    <row r="218" spans="1:9" s="3472" customFormat="1">
      <c r="A218" s="3916"/>
      <c r="B218" s="3907"/>
      <c r="C218" s="3897"/>
      <c r="D218" s="3920"/>
      <c r="E218" s="3468" t="s">
        <v>4339</v>
      </c>
      <c r="F218" s="3516">
        <v>89.9</v>
      </c>
      <c r="G218" s="3469">
        <v>16.37</v>
      </c>
      <c r="H218" s="3470" t="s">
        <v>3557</v>
      </c>
      <c r="I218" s="3549">
        <v>40</v>
      </c>
    </row>
    <row r="219" spans="1:9" s="3472" customFormat="1">
      <c r="A219" s="3916"/>
      <c r="B219" s="3907"/>
      <c r="C219" s="3897"/>
      <c r="D219" s="3920"/>
      <c r="E219" s="3468" t="s">
        <v>4340</v>
      </c>
      <c r="F219" s="3516">
        <v>89.9</v>
      </c>
      <c r="G219" s="3469">
        <v>16.37</v>
      </c>
      <c r="H219" s="3470" t="s">
        <v>3557</v>
      </c>
      <c r="I219" s="3549">
        <v>40</v>
      </c>
    </row>
    <row r="220" spans="1:9" s="3472" customFormat="1">
      <c r="A220" s="3916"/>
      <c r="B220" s="3907"/>
      <c r="C220" s="3897"/>
      <c r="D220" s="3920"/>
      <c r="E220" s="3468" t="s">
        <v>3695</v>
      </c>
      <c r="F220" s="3516">
        <v>49.03</v>
      </c>
      <c r="G220" s="3469">
        <v>8.93</v>
      </c>
      <c r="H220" s="3470" t="s">
        <v>3557</v>
      </c>
      <c r="I220" s="3549">
        <v>22</v>
      </c>
    </row>
    <row r="221" spans="1:9" s="3472" customFormat="1">
      <c r="A221" s="3916"/>
      <c r="B221" s="3907"/>
      <c r="C221" s="3897"/>
      <c r="D221" s="3920"/>
      <c r="E221" s="3468" t="s">
        <v>4341</v>
      </c>
      <c r="F221" s="3516">
        <v>89.9</v>
      </c>
      <c r="G221" s="3469">
        <v>16.37</v>
      </c>
      <c r="H221" s="3470" t="s">
        <v>3557</v>
      </c>
      <c r="I221" s="3549">
        <v>40</v>
      </c>
    </row>
    <row r="222" spans="1:9" s="3472" customFormat="1">
      <c r="A222" s="3916"/>
      <c r="B222" s="3918"/>
      <c r="C222" s="3897"/>
      <c r="D222" s="3920"/>
      <c r="E222" s="3468" t="s">
        <v>4342</v>
      </c>
      <c r="F222" s="3516">
        <v>89.9</v>
      </c>
      <c r="G222" s="3469">
        <v>16.37</v>
      </c>
      <c r="H222" s="3470" t="s">
        <v>3557</v>
      </c>
      <c r="I222" s="3549">
        <v>40</v>
      </c>
    </row>
    <row r="223" spans="1:9" s="3472" customFormat="1">
      <c r="A223" s="3916"/>
      <c r="B223" s="3906" t="s">
        <v>3553</v>
      </c>
      <c r="C223" s="3897" t="s">
        <v>3554</v>
      </c>
      <c r="D223" s="3920" t="s">
        <v>3555</v>
      </c>
      <c r="E223" s="3468" t="s">
        <v>4343</v>
      </c>
      <c r="F223" s="3516">
        <v>89.9</v>
      </c>
      <c r="G223" s="3469">
        <v>16.37</v>
      </c>
      <c r="H223" s="3470" t="s">
        <v>3557</v>
      </c>
      <c r="I223" s="3549">
        <v>40</v>
      </c>
    </row>
    <row r="224" spans="1:9" s="3472" customFormat="1">
      <c r="A224" s="3916"/>
      <c r="B224" s="3907"/>
      <c r="C224" s="3897"/>
      <c r="D224" s="3920"/>
      <c r="E224" s="3468" t="s">
        <v>4344</v>
      </c>
      <c r="F224" s="3516">
        <v>89.9</v>
      </c>
      <c r="G224" s="3469">
        <v>16.37</v>
      </c>
      <c r="H224" s="3470" t="s">
        <v>3557</v>
      </c>
      <c r="I224" s="3549">
        <v>40</v>
      </c>
    </row>
    <row r="225" spans="1:9" s="3472" customFormat="1">
      <c r="A225" s="3916"/>
      <c r="B225" s="3907"/>
      <c r="C225" s="3897"/>
      <c r="D225" s="3920"/>
      <c r="E225" s="3468">
        <v>-101</v>
      </c>
      <c r="F225" s="3516">
        <v>211.51</v>
      </c>
      <c r="G225" s="3469">
        <v>38.5</v>
      </c>
      <c r="H225" s="3470" t="s">
        <v>4294</v>
      </c>
      <c r="I225" s="3549">
        <v>422</v>
      </c>
    </row>
    <row r="226" spans="1:9" s="3472" customFormat="1">
      <c r="A226" s="3916"/>
      <c r="B226" s="3907"/>
      <c r="C226" s="3897"/>
      <c r="D226" s="3920"/>
      <c r="E226" s="3509">
        <v>-102</v>
      </c>
      <c r="F226" s="3516">
        <v>62.54</v>
      </c>
      <c r="G226" s="3469">
        <v>11.39</v>
      </c>
      <c r="H226" s="3470" t="s">
        <v>4294</v>
      </c>
      <c r="I226" s="3549">
        <v>127</v>
      </c>
    </row>
    <row r="227" spans="1:9" s="3472" customFormat="1">
      <c r="A227" s="3916"/>
      <c r="B227" s="3907"/>
      <c r="C227" s="3897"/>
      <c r="D227" s="3920"/>
      <c r="E227" s="3505">
        <v>-103</v>
      </c>
      <c r="F227" s="3516">
        <v>77.900000000000006</v>
      </c>
      <c r="G227" s="3469">
        <v>14.18</v>
      </c>
      <c r="H227" s="3470" t="s">
        <v>4294</v>
      </c>
      <c r="I227" s="3549">
        <v>159</v>
      </c>
    </row>
    <row r="228" spans="1:9" s="3472" customFormat="1">
      <c r="A228" s="3916"/>
      <c r="B228" s="3907"/>
      <c r="C228" s="3897"/>
      <c r="D228" s="3920"/>
      <c r="E228" s="3608">
        <v>-104</v>
      </c>
      <c r="F228" s="3516">
        <v>95.91</v>
      </c>
      <c r="G228" s="3469">
        <v>17.46</v>
      </c>
      <c r="H228" s="3470" t="s">
        <v>4294</v>
      </c>
      <c r="I228" s="3549">
        <v>195</v>
      </c>
    </row>
    <row r="229" spans="1:9" s="3472" customFormat="1">
      <c r="A229" s="3916"/>
      <c r="B229" s="3907"/>
      <c r="C229" s="3897"/>
      <c r="D229" s="3920"/>
      <c r="E229" s="3608">
        <v>-105</v>
      </c>
      <c r="F229" s="3516">
        <v>95.03</v>
      </c>
      <c r="G229" s="3469">
        <v>17.3</v>
      </c>
      <c r="H229" s="3470" t="s">
        <v>4294</v>
      </c>
      <c r="I229" s="3549">
        <v>194</v>
      </c>
    </row>
    <row r="230" spans="1:9" s="3472" customFormat="1">
      <c r="A230" s="3916"/>
      <c r="B230" s="3907"/>
      <c r="C230" s="3897"/>
      <c r="D230" s="3920"/>
      <c r="E230" s="3608">
        <v>-106</v>
      </c>
      <c r="F230" s="3516">
        <v>136.32</v>
      </c>
      <c r="G230" s="3469">
        <v>24.82</v>
      </c>
      <c r="H230" s="3470" t="s">
        <v>4294</v>
      </c>
      <c r="I230" s="3549">
        <v>275</v>
      </c>
    </row>
    <row r="231" spans="1:9" s="3529" customFormat="1">
      <c r="A231" s="3916"/>
      <c r="B231" s="3907"/>
      <c r="C231" s="3897"/>
      <c r="D231" s="3920"/>
      <c r="E231" s="3609" t="s">
        <v>3451</v>
      </c>
      <c r="F231" s="3528">
        <v>44.95</v>
      </c>
      <c r="G231" s="3528">
        <v>8.18</v>
      </c>
      <c r="H231" s="3610" t="s">
        <v>3557</v>
      </c>
      <c r="I231" s="3548">
        <v>21</v>
      </c>
    </row>
    <row r="232" spans="1:9" s="3472" customFormat="1">
      <c r="A232" s="3916"/>
      <c r="B232" s="3907"/>
      <c r="C232" s="3897"/>
      <c r="D232" s="3920"/>
      <c r="E232" s="3468" t="s">
        <v>3696</v>
      </c>
      <c r="F232" s="3516">
        <v>44.95</v>
      </c>
      <c r="G232" s="3469">
        <v>8.18</v>
      </c>
      <c r="H232" s="3470" t="s">
        <v>3557</v>
      </c>
      <c r="I232" s="3549">
        <v>21</v>
      </c>
    </row>
    <row r="233" spans="1:9" s="3472" customFormat="1">
      <c r="A233" s="3916"/>
      <c r="B233" s="3907"/>
      <c r="C233" s="3897"/>
      <c r="D233" s="3920"/>
      <c r="E233" s="3468" t="s">
        <v>3456</v>
      </c>
      <c r="F233" s="3516">
        <v>44.95</v>
      </c>
      <c r="G233" s="3469">
        <v>8.18</v>
      </c>
      <c r="H233" s="3470" t="s">
        <v>3557</v>
      </c>
      <c r="I233" s="3549">
        <v>21</v>
      </c>
    </row>
    <row r="234" spans="1:9" s="3472" customFormat="1">
      <c r="A234" s="3916"/>
      <c r="B234" s="3907"/>
      <c r="C234" s="3897"/>
      <c r="D234" s="3920"/>
      <c r="E234" s="3468" t="s">
        <v>3457</v>
      </c>
      <c r="F234" s="3516">
        <v>44.95</v>
      </c>
      <c r="G234" s="3469">
        <v>8.18</v>
      </c>
      <c r="H234" s="3470" t="s">
        <v>3557</v>
      </c>
      <c r="I234" s="3549">
        <v>21</v>
      </c>
    </row>
    <row r="235" spans="1:9" s="3472" customFormat="1">
      <c r="A235" s="3916"/>
      <c r="B235" s="3907"/>
      <c r="C235" s="3897"/>
      <c r="D235" s="3920"/>
      <c r="E235" s="3468" t="s">
        <v>3452</v>
      </c>
      <c r="F235" s="3516">
        <v>44.95</v>
      </c>
      <c r="G235" s="3469">
        <v>8.18</v>
      </c>
      <c r="H235" s="3470" t="s">
        <v>3557</v>
      </c>
      <c r="I235" s="3549">
        <v>21</v>
      </c>
    </row>
    <row r="236" spans="1:9" s="3472" customFormat="1">
      <c r="A236" s="3916"/>
      <c r="B236" s="3907"/>
      <c r="C236" s="3897"/>
      <c r="D236" s="3920"/>
      <c r="E236" s="3468" t="s">
        <v>3697</v>
      </c>
      <c r="F236" s="3516">
        <v>44.95</v>
      </c>
      <c r="G236" s="3469">
        <v>8.18</v>
      </c>
      <c r="H236" s="3470" t="s">
        <v>3557</v>
      </c>
      <c r="I236" s="3549">
        <v>21</v>
      </c>
    </row>
    <row r="237" spans="1:9" s="3472" customFormat="1">
      <c r="A237" s="3916"/>
      <c r="B237" s="3907"/>
      <c r="C237" s="3897"/>
      <c r="D237" s="3920"/>
      <c r="E237" s="3468" t="s">
        <v>3453</v>
      </c>
      <c r="F237" s="3516">
        <v>44.95</v>
      </c>
      <c r="G237" s="3469">
        <v>8.18</v>
      </c>
      <c r="H237" s="3470" t="s">
        <v>3557</v>
      </c>
      <c r="I237" s="3549">
        <v>21</v>
      </c>
    </row>
    <row r="238" spans="1:9" s="3472" customFormat="1">
      <c r="A238" s="3916"/>
      <c r="B238" s="3907"/>
      <c r="C238" s="3897"/>
      <c r="D238" s="3920"/>
      <c r="E238" s="3468" t="s">
        <v>3698</v>
      </c>
      <c r="F238" s="3516">
        <v>44.95</v>
      </c>
      <c r="G238" s="3469">
        <v>8.18</v>
      </c>
      <c r="H238" s="3470" t="s">
        <v>3557</v>
      </c>
      <c r="I238" s="3549">
        <v>21</v>
      </c>
    </row>
    <row r="239" spans="1:9" s="3472" customFormat="1">
      <c r="A239" s="3916"/>
      <c r="B239" s="3907"/>
      <c r="C239" s="3897"/>
      <c r="D239" s="3920"/>
      <c r="E239" s="3468" t="s">
        <v>3699</v>
      </c>
      <c r="F239" s="3516">
        <v>44.95</v>
      </c>
      <c r="G239" s="3469">
        <v>8.18</v>
      </c>
      <c r="H239" s="3470" t="s">
        <v>3557</v>
      </c>
      <c r="I239" s="3549">
        <v>21</v>
      </c>
    </row>
    <row r="240" spans="1:9" s="3472" customFormat="1">
      <c r="A240" s="3916"/>
      <c r="B240" s="3907"/>
      <c r="C240" s="3897"/>
      <c r="D240" s="3920"/>
      <c r="E240" s="3468" t="s">
        <v>3700</v>
      </c>
      <c r="F240" s="3516">
        <v>44.95</v>
      </c>
      <c r="G240" s="3469">
        <v>8.18</v>
      </c>
      <c r="H240" s="3470" t="s">
        <v>3557</v>
      </c>
      <c r="I240" s="3549">
        <v>21</v>
      </c>
    </row>
    <row r="241" spans="1:9" s="3472" customFormat="1">
      <c r="A241" s="3916"/>
      <c r="B241" s="3907"/>
      <c r="C241" s="3897"/>
      <c r="D241" s="3920"/>
      <c r="E241" s="3468" t="s">
        <v>3454</v>
      </c>
      <c r="F241" s="3516">
        <v>44.95</v>
      </c>
      <c r="G241" s="3469">
        <v>8.18</v>
      </c>
      <c r="H241" s="3470" t="s">
        <v>3557</v>
      </c>
      <c r="I241" s="3549">
        <v>21</v>
      </c>
    </row>
    <row r="242" spans="1:9" s="3472" customFormat="1">
      <c r="A242" s="3916"/>
      <c r="B242" s="3907"/>
      <c r="C242" s="3897"/>
      <c r="D242" s="3920"/>
      <c r="E242" s="3468" t="s">
        <v>3701</v>
      </c>
      <c r="F242" s="3516">
        <v>67.42</v>
      </c>
      <c r="G242" s="3469">
        <v>12.27</v>
      </c>
      <c r="H242" s="3470" t="s">
        <v>3557</v>
      </c>
      <c r="I242" s="3549">
        <v>31</v>
      </c>
    </row>
    <row r="243" spans="1:9" s="3472" customFormat="1">
      <c r="A243" s="3916"/>
      <c r="B243" s="3907"/>
      <c r="C243" s="3897"/>
      <c r="D243" s="3920"/>
      <c r="E243" s="3468" t="s">
        <v>3702</v>
      </c>
      <c r="F243" s="3516">
        <v>49.03</v>
      </c>
      <c r="G243" s="3469">
        <v>8.93</v>
      </c>
      <c r="H243" s="3470" t="s">
        <v>3557</v>
      </c>
      <c r="I243" s="3549">
        <v>23</v>
      </c>
    </row>
    <row r="244" spans="1:9" s="3472" customFormat="1">
      <c r="A244" s="3916"/>
      <c r="B244" s="3907"/>
      <c r="C244" s="3897"/>
      <c r="D244" s="3920"/>
      <c r="E244" s="3468" t="s">
        <v>3703</v>
      </c>
      <c r="F244" s="3516">
        <v>49</v>
      </c>
      <c r="G244" s="3469">
        <v>8.92</v>
      </c>
      <c r="H244" s="3470" t="s">
        <v>3557</v>
      </c>
      <c r="I244" s="3549">
        <v>23</v>
      </c>
    </row>
    <row r="245" spans="1:9" s="3472" customFormat="1">
      <c r="A245" s="3916"/>
      <c r="B245" s="3907"/>
      <c r="C245" s="3897"/>
      <c r="D245" s="3920"/>
      <c r="E245" s="3468" t="s">
        <v>3704</v>
      </c>
      <c r="F245" s="3516">
        <v>49.03</v>
      </c>
      <c r="G245" s="3469">
        <v>8.93</v>
      </c>
      <c r="H245" s="3470" t="s">
        <v>3557</v>
      </c>
      <c r="I245" s="3549">
        <v>23</v>
      </c>
    </row>
    <row r="246" spans="1:9" s="3472" customFormat="1">
      <c r="A246" s="3916"/>
      <c r="B246" s="3907"/>
      <c r="C246" s="3897"/>
      <c r="D246" s="3920"/>
      <c r="E246" s="3468" t="s">
        <v>3705</v>
      </c>
      <c r="F246" s="3516">
        <v>44.95</v>
      </c>
      <c r="G246" s="3469">
        <v>8.18</v>
      </c>
      <c r="H246" s="3470" t="s">
        <v>3557</v>
      </c>
      <c r="I246" s="3549">
        <v>21</v>
      </c>
    </row>
    <row r="247" spans="1:9" s="3472" customFormat="1">
      <c r="A247" s="3916"/>
      <c r="B247" s="3907"/>
      <c r="C247" s="3897"/>
      <c r="D247" s="3920"/>
      <c r="E247" s="3468" t="s">
        <v>3706</v>
      </c>
      <c r="F247" s="3516">
        <v>44.95</v>
      </c>
      <c r="G247" s="3469">
        <v>8.18</v>
      </c>
      <c r="H247" s="3470" t="s">
        <v>3557</v>
      </c>
      <c r="I247" s="3549">
        <v>21</v>
      </c>
    </row>
    <row r="248" spans="1:9" s="3472" customFormat="1">
      <c r="A248" s="3916"/>
      <c r="B248" s="3907"/>
      <c r="C248" s="3897"/>
      <c r="D248" s="3920"/>
      <c r="E248" s="3468" t="s">
        <v>3707</v>
      </c>
      <c r="F248" s="3516">
        <v>44.95</v>
      </c>
      <c r="G248" s="3469">
        <v>8.18</v>
      </c>
      <c r="H248" s="3470" t="s">
        <v>3557</v>
      </c>
      <c r="I248" s="3549">
        <v>21</v>
      </c>
    </row>
    <row r="249" spans="1:9" s="3472" customFormat="1">
      <c r="A249" s="3916"/>
      <c r="B249" s="3907"/>
      <c r="C249" s="3897"/>
      <c r="D249" s="3920"/>
      <c r="E249" s="3468" t="s">
        <v>3708</v>
      </c>
      <c r="F249" s="3516">
        <v>44.95</v>
      </c>
      <c r="G249" s="3469">
        <v>8.18</v>
      </c>
      <c r="H249" s="3470" t="s">
        <v>3557</v>
      </c>
      <c r="I249" s="3549">
        <v>21</v>
      </c>
    </row>
    <row r="250" spans="1:9" s="3472" customFormat="1">
      <c r="A250" s="3916"/>
      <c r="B250" s="3907"/>
      <c r="C250" s="3897"/>
      <c r="D250" s="3920"/>
      <c r="E250" s="3468" t="s">
        <v>3709</v>
      </c>
      <c r="F250" s="3516">
        <v>44.95</v>
      </c>
      <c r="G250" s="3469">
        <v>8.18</v>
      </c>
      <c r="H250" s="3470" t="s">
        <v>3557</v>
      </c>
      <c r="I250" s="3549">
        <v>21</v>
      </c>
    </row>
    <row r="251" spans="1:9" s="3472" customFormat="1">
      <c r="A251" s="3916"/>
      <c r="B251" s="3907"/>
      <c r="C251" s="3897"/>
      <c r="D251" s="3920"/>
      <c r="E251" s="3468" t="s">
        <v>3710</v>
      </c>
      <c r="F251" s="3516">
        <v>44.95</v>
      </c>
      <c r="G251" s="3469">
        <v>8.18</v>
      </c>
      <c r="H251" s="3470" t="s">
        <v>3557</v>
      </c>
      <c r="I251" s="3549">
        <v>21</v>
      </c>
    </row>
    <row r="252" spans="1:9" s="3472" customFormat="1">
      <c r="A252" s="3916"/>
      <c r="B252" s="3907"/>
      <c r="C252" s="3897"/>
      <c r="D252" s="3920"/>
      <c r="E252" s="3468" t="s">
        <v>3711</v>
      </c>
      <c r="F252" s="3516">
        <v>44.95</v>
      </c>
      <c r="G252" s="3469">
        <v>8.18</v>
      </c>
      <c r="H252" s="3470" t="s">
        <v>3557</v>
      </c>
      <c r="I252" s="3549">
        <v>21</v>
      </c>
    </row>
    <row r="253" spans="1:9" s="3472" customFormat="1">
      <c r="A253" s="3916"/>
      <c r="B253" s="3907"/>
      <c r="C253" s="3897"/>
      <c r="D253" s="3920"/>
      <c r="E253" s="3468" t="s">
        <v>3712</v>
      </c>
      <c r="F253" s="3516">
        <v>44.95</v>
      </c>
      <c r="G253" s="3469">
        <v>8.18</v>
      </c>
      <c r="H253" s="3470" t="s">
        <v>3557</v>
      </c>
      <c r="I253" s="3549">
        <v>21</v>
      </c>
    </row>
    <row r="254" spans="1:9" s="3472" customFormat="1">
      <c r="A254" s="3916"/>
      <c r="B254" s="3907"/>
      <c r="C254" s="3897"/>
      <c r="D254" s="3920"/>
      <c r="E254" s="3468" t="s">
        <v>3713</v>
      </c>
      <c r="F254" s="3516">
        <v>44.95</v>
      </c>
      <c r="G254" s="3469">
        <v>8.18</v>
      </c>
      <c r="H254" s="3470" t="s">
        <v>3557</v>
      </c>
      <c r="I254" s="3549">
        <v>21</v>
      </c>
    </row>
    <row r="255" spans="1:9" s="3472" customFormat="1">
      <c r="A255" s="3916"/>
      <c r="B255" s="3907"/>
      <c r="C255" s="3897"/>
      <c r="D255" s="3920"/>
      <c r="E255" s="3468" t="s">
        <v>3714</v>
      </c>
      <c r="F255" s="3516">
        <v>44.95</v>
      </c>
      <c r="G255" s="3469">
        <v>8.18</v>
      </c>
      <c r="H255" s="3470" t="s">
        <v>3557</v>
      </c>
      <c r="I255" s="3549">
        <v>21</v>
      </c>
    </row>
    <row r="256" spans="1:9" s="3472" customFormat="1">
      <c r="A256" s="3916"/>
      <c r="B256" s="3907"/>
      <c r="C256" s="3897"/>
      <c r="D256" s="3920"/>
      <c r="E256" s="3468" t="s">
        <v>3715</v>
      </c>
      <c r="F256" s="3516">
        <v>44.95</v>
      </c>
      <c r="G256" s="3469">
        <v>8.18</v>
      </c>
      <c r="H256" s="3470" t="s">
        <v>3557</v>
      </c>
      <c r="I256" s="3549">
        <v>21</v>
      </c>
    </row>
    <row r="257" spans="1:9" s="3472" customFormat="1">
      <c r="A257" s="3916"/>
      <c r="B257" s="3907"/>
      <c r="C257" s="3897"/>
      <c r="D257" s="3920"/>
      <c r="E257" s="3468" t="s">
        <v>3716</v>
      </c>
      <c r="F257" s="3516">
        <v>44.95</v>
      </c>
      <c r="G257" s="3469">
        <v>8.18</v>
      </c>
      <c r="H257" s="3470" t="s">
        <v>3557</v>
      </c>
      <c r="I257" s="3549">
        <v>21</v>
      </c>
    </row>
    <row r="258" spans="1:9" s="3472" customFormat="1">
      <c r="A258" s="3916"/>
      <c r="B258" s="3907"/>
      <c r="C258" s="3897"/>
      <c r="D258" s="3920"/>
      <c r="E258" s="3468" t="s">
        <v>3717</v>
      </c>
      <c r="F258" s="3516">
        <v>44.95</v>
      </c>
      <c r="G258" s="3469">
        <v>8.18</v>
      </c>
      <c r="H258" s="3470" t="s">
        <v>3557</v>
      </c>
      <c r="I258" s="3549">
        <v>21</v>
      </c>
    </row>
    <row r="259" spans="1:9" s="3472" customFormat="1">
      <c r="A259" s="3916"/>
      <c r="B259" s="3918"/>
      <c r="C259" s="3897"/>
      <c r="D259" s="3920"/>
      <c r="E259" s="3468" t="s">
        <v>3718</v>
      </c>
      <c r="F259" s="3516">
        <v>44.95</v>
      </c>
      <c r="G259" s="3469">
        <v>8.18</v>
      </c>
      <c r="H259" s="3470" t="s">
        <v>3557</v>
      </c>
      <c r="I259" s="3549">
        <v>21</v>
      </c>
    </row>
    <row r="260" spans="1:9" s="3472" customFormat="1">
      <c r="A260" s="3916"/>
      <c r="B260" s="3906" t="s">
        <v>3553</v>
      </c>
      <c r="C260" s="3897" t="s">
        <v>3719</v>
      </c>
      <c r="D260" s="3920" t="s">
        <v>3555</v>
      </c>
      <c r="E260" s="3468" t="s">
        <v>3720</v>
      </c>
      <c r="F260" s="3516">
        <v>44.95</v>
      </c>
      <c r="G260" s="3469">
        <v>8.18</v>
      </c>
      <c r="H260" s="3470" t="s">
        <v>3557</v>
      </c>
      <c r="I260" s="3549">
        <v>21</v>
      </c>
    </row>
    <row r="261" spans="1:9" s="3472" customFormat="1">
      <c r="A261" s="3916"/>
      <c r="B261" s="3907"/>
      <c r="C261" s="3897"/>
      <c r="D261" s="3920"/>
      <c r="E261" s="3468" t="s">
        <v>3721</v>
      </c>
      <c r="F261" s="3516">
        <v>44.95</v>
      </c>
      <c r="G261" s="3469">
        <v>8.18</v>
      </c>
      <c r="H261" s="3470" t="s">
        <v>3557</v>
      </c>
      <c r="I261" s="3549">
        <v>21</v>
      </c>
    </row>
    <row r="262" spans="1:9" s="3472" customFormat="1">
      <c r="A262" s="3916"/>
      <c r="B262" s="3907"/>
      <c r="C262" s="3897"/>
      <c r="D262" s="3920"/>
      <c r="E262" s="3468" t="s">
        <v>3722</v>
      </c>
      <c r="F262" s="3516">
        <v>44.95</v>
      </c>
      <c r="G262" s="3469">
        <v>8.18</v>
      </c>
      <c r="H262" s="3470" t="s">
        <v>3557</v>
      </c>
      <c r="I262" s="3549">
        <v>21</v>
      </c>
    </row>
    <row r="263" spans="1:9" s="3472" customFormat="1">
      <c r="A263" s="3916"/>
      <c r="B263" s="3907"/>
      <c r="C263" s="3897"/>
      <c r="D263" s="3920"/>
      <c r="E263" s="3468" t="s">
        <v>3723</v>
      </c>
      <c r="F263" s="3516">
        <v>44.95</v>
      </c>
      <c r="G263" s="3469">
        <v>8.18</v>
      </c>
      <c r="H263" s="3470" t="s">
        <v>3557</v>
      </c>
      <c r="I263" s="3549">
        <v>21</v>
      </c>
    </row>
    <row r="264" spans="1:9" s="3472" customFormat="1">
      <c r="A264" s="3916"/>
      <c r="B264" s="3907"/>
      <c r="C264" s="3897"/>
      <c r="D264" s="3920"/>
      <c r="E264" s="3468" t="s">
        <v>3724</v>
      </c>
      <c r="F264" s="3516">
        <v>44.95</v>
      </c>
      <c r="G264" s="3469">
        <v>8.18</v>
      </c>
      <c r="H264" s="3470" t="s">
        <v>3557</v>
      </c>
      <c r="I264" s="3549">
        <v>21</v>
      </c>
    </row>
    <row r="265" spans="1:9" s="3472" customFormat="1">
      <c r="A265" s="3916"/>
      <c r="B265" s="3907"/>
      <c r="C265" s="3897"/>
      <c r="D265" s="3920"/>
      <c r="E265" s="3468" t="s">
        <v>3725</v>
      </c>
      <c r="F265" s="3516">
        <v>44.95</v>
      </c>
      <c r="G265" s="3469">
        <v>8.18</v>
      </c>
      <c r="H265" s="3470" t="s">
        <v>3557</v>
      </c>
      <c r="I265" s="3549">
        <v>21</v>
      </c>
    </row>
    <row r="266" spans="1:9" s="3472" customFormat="1">
      <c r="A266" s="3916"/>
      <c r="B266" s="3907"/>
      <c r="C266" s="3897"/>
      <c r="D266" s="3920"/>
      <c r="E266" s="3605" t="s">
        <v>3726</v>
      </c>
      <c r="F266" s="3516">
        <v>44.95</v>
      </c>
      <c r="G266" s="3469">
        <v>8.18</v>
      </c>
      <c r="H266" s="3470" t="s">
        <v>3557</v>
      </c>
      <c r="I266" s="3549">
        <v>21</v>
      </c>
    </row>
    <row r="267" spans="1:9" s="3472" customFormat="1">
      <c r="A267" s="3916"/>
      <c r="B267" s="3907"/>
      <c r="C267" s="3897"/>
      <c r="D267" s="3920"/>
      <c r="E267" s="3468" t="s">
        <v>3727</v>
      </c>
      <c r="F267" s="3516">
        <v>44.95</v>
      </c>
      <c r="G267" s="3469">
        <v>8.18</v>
      </c>
      <c r="H267" s="3470" t="s">
        <v>3557</v>
      </c>
      <c r="I267" s="3549">
        <v>21</v>
      </c>
    </row>
    <row r="268" spans="1:9" s="3472" customFormat="1">
      <c r="A268" s="3916"/>
      <c r="B268" s="3907"/>
      <c r="C268" s="3897"/>
      <c r="D268" s="3920"/>
      <c r="E268" s="3468" t="s">
        <v>3728</v>
      </c>
      <c r="F268" s="3516">
        <v>44.95</v>
      </c>
      <c r="G268" s="3469">
        <v>8.18</v>
      </c>
      <c r="H268" s="3470" t="s">
        <v>3557</v>
      </c>
      <c r="I268" s="3549">
        <v>21</v>
      </c>
    </row>
    <row r="269" spans="1:9" s="3472" customFormat="1">
      <c r="A269" s="3916"/>
      <c r="B269" s="3907"/>
      <c r="C269" s="3897"/>
      <c r="D269" s="3920"/>
      <c r="E269" s="3468" t="s">
        <v>3729</v>
      </c>
      <c r="F269" s="3516">
        <v>44.95</v>
      </c>
      <c r="G269" s="3469">
        <v>8.18</v>
      </c>
      <c r="H269" s="3470" t="s">
        <v>3557</v>
      </c>
      <c r="I269" s="3549">
        <v>21</v>
      </c>
    </row>
    <row r="270" spans="1:9" s="3472" customFormat="1">
      <c r="A270" s="3916"/>
      <c r="B270" s="3907"/>
      <c r="C270" s="3897"/>
      <c r="D270" s="3920"/>
      <c r="E270" s="3605" t="s">
        <v>3730</v>
      </c>
      <c r="F270" s="3516">
        <v>44.95</v>
      </c>
      <c r="G270" s="3469">
        <v>8.18</v>
      </c>
      <c r="H270" s="3470" t="s">
        <v>3557</v>
      </c>
      <c r="I270" s="3549">
        <v>21</v>
      </c>
    </row>
    <row r="271" spans="1:9" s="3472" customFormat="1">
      <c r="A271" s="3916"/>
      <c r="B271" s="3907"/>
      <c r="C271" s="3897"/>
      <c r="D271" s="3920"/>
      <c r="E271" s="3605" t="s">
        <v>3731</v>
      </c>
      <c r="F271" s="3516">
        <v>44.95</v>
      </c>
      <c r="G271" s="3469">
        <v>8.18</v>
      </c>
      <c r="H271" s="3470" t="s">
        <v>3557</v>
      </c>
      <c r="I271" s="3549">
        <v>21</v>
      </c>
    </row>
    <row r="272" spans="1:9" s="3472" customFormat="1">
      <c r="A272" s="3916"/>
      <c r="B272" s="3907"/>
      <c r="C272" s="3897"/>
      <c r="D272" s="3920"/>
      <c r="E272" s="3605" t="s">
        <v>3732</v>
      </c>
      <c r="F272" s="3516">
        <v>67.42</v>
      </c>
      <c r="G272" s="3469">
        <v>12.27</v>
      </c>
      <c r="H272" s="3470" t="s">
        <v>3557</v>
      </c>
      <c r="I272" s="3549">
        <v>31</v>
      </c>
    </row>
    <row r="273" spans="1:9" s="3472" customFormat="1">
      <c r="A273" s="3916"/>
      <c r="B273" s="3907"/>
      <c r="C273" s="3897"/>
      <c r="D273" s="3920"/>
      <c r="E273" s="3605" t="s">
        <v>3733</v>
      </c>
      <c r="F273" s="3516">
        <v>44.95</v>
      </c>
      <c r="G273" s="3469">
        <v>8.18</v>
      </c>
      <c r="H273" s="3470" t="s">
        <v>3557</v>
      </c>
      <c r="I273" s="3549">
        <v>21</v>
      </c>
    </row>
    <row r="274" spans="1:9" s="3472" customFormat="1">
      <c r="A274" s="3916"/>
      <c r="B274" s="3907"/>
      <c r="C274" s="3897"/>
      <c r="D274" s="3920"/>
      <c r="E274" s="3605" t="s">
        <v>3734</v>
      </c>
      <c r="F274" s="3516">
        <v>44.95</v>
      </c>
      <c r="G274" s="3469">
        <v>8.18</v>
      </c>
      <c r="H274" s="3470" t="s">
        <v>3557</v>
      </c>
      <c r="I274" s="3549">
        <v>21</v>
      </c>
    </row>
    <row r="275" spans="1:9" s="3472" customFormat="1">
      <c r="A275" s="3916"/>
      <c r="B275" s="3907"/>
      <c r="C275" s="3897"/>
      <c r="D275" s="3920"/>
      <c r="E275" s="3605" t="s">
        <v>3735</v>
      </c>
      <c r="F275" s="3516">
        <v>67.42</v>
      </c>
      <c r="G275" s="3469">
        <v>12.27</v>
      </c>
      <c r="H275" s="3470" t="s">
        <v>3557</v>
      </c>
      <c r="I275" s="3549">
        <v>31</v>
      </c>
    </row>
    <row r="276" spans="1:9" s="3472" customFormat="1">
      <c r="A276" s="3916"/>
      <c r="B276" s="3907"/>
      <c r="C276" s="3897"/>
      <c r="D276" s="3920"/>
      <c r="E276" s="3605" t="s">
        <v>3736</v>
      </c>
      <c r="F276" s="3516">
        <v>44.95</v>
      </c>
      <c r="G276" s="3469">
        <v>8.18</v>
      </c>
      <c r="H276" s="3470" t="s">
        <v>3557</v>
      </c>
      <c r="I276" s="3549">
        <v>21</v>
      </c>
    </row>
    <row r="277" spans="1:9" s="3472" customFormat="1">
      <c r="A277" s="3916"/>
      <c r="B277" s="3907"/>
      <c r="C277" s="3897"/>
      <c r="D277" s="3920"/>
      <c r="E277" s="3605" t="s">
        <v>3737</v>
      </c>
      <c r="F277" s="3516">
        <v>67.42</v>
      </c>
      <c r="G277" s="3469">
        <v>12.27</v>
      </c>
      <c r="H277" s="3470" t="s">
        <v>3557</v>
      </c>
      <c r="I277" s="3549">
        <v>31</v>
      </c>
    </row>
    <row r="278" spans="1:9" s="3472" customFormat="1">
      <c r="A278" s="3916"/>
      <c r="B278" s="3907"/>
      <c r="C278" s="3897"/>
      <c r="D278" s="3920"/>
      <c r="E278" s="3605" t="s">
        <v>3738</v>
      </c>
      <c r="F278" s="3516">
        <v>44.95</v>
      </c>
      <c r="G278" s="3469">
        <v>8.18</v>
      </c>
      <c r="H278" s="3470" t="s">
        <v>3557</v>
      </c>
      <c r="I278" s="3549">
        <v>21</v>
      </c>
    </row>
    <row r="279" spans="1:9" s="3472" customFormat="1">
      <c r="A279" s="3916"/>
      <c r="B279" s="3907"/>
      <c r="C279" s="3897"/>
      <c r="D279" s="3920"/>
      <c r="E279" s="3605" t="s">
        <v>3739</v>
      </c>
      <c r="F279" s="3516">
        <v>44.95</v>
      </c>
      <c r="G279" s="3469">
        <v>8.18</v>
      </c>
      <c r="H279" s="3470" t="s">
        <v>3557</v>
      </c>
      <c r="I279" s="3549">
        <v>21</v>
      </c>
    </row>
    <row r="280" spans="1:9" s="3472" customFormat="1">
      <c r="A280" s="3916"/>
      <c r="B280" s="3907"/>
      <c r="C280" s="3897"/>
      <c r="D280" s="3920"/>
      <c r="E280" s="3605" t="s">
        <v>3740</v>
      </c>
      <c r="F280" s="3516">
        <v>44.95</v>
      </c>
      <c r="G280" s="3469">
        <v>8.18</v>
      </c>
      <c r="H280" s="3470" t="s">
        <v>3557</v>
      </c>
      <c r="I280" s="3549">
        <v>21</v>
      </c>
    </row>
    <row r="281" spans="1:9" s="3472" customFormat="1">
      <c r="A281" s="3917"/>
      <c r="B281" s="3918"/>
      <c r="C281" s="3897"/>
      <c r="D281" s="3920"/>
      <c r="E281" s="3605" t="s">
        <v>3741</v>
      </c>
      <c r="F281" s="3516">
        <v>44.95</v>
      </c>
      <c r="G281" s="3469">
        <v>8.18</v>
      </c>
      <c r="H281" s="3470" t="s">
        <v>3557</v>
      </c>
      <c r="I281" s="3549">
        <v>21</v>
      </c>
    </row>
    <row r="282" spans="1:9" s="3472" customFormat="1">
      <c r="A282" s="3912" t="s">
        <v>3526</v>
      </c>
      <c r="B282" s="3913"/>
      <c r="C282" s="3913"/>
      <c r="D282" s="3913"/>
      <c r="E282" s="3914"/>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915">
        <v>1</v>
      </c>
      <c r="B284" s="3906" t="s">
        <v>3742</v>
      </c>
      <c r="C284" s="3906" t="s">
        <v>3743</v>
      </c>
      <c r="D284" s="3908" t="s">
        <v>3525</v>
      </c>
      <c r="E284" s="3509">
        <v>101</v>
      </c>
      <c r="F284" s="3522">
        <v>244.44</v>
      </c>
      <c r="G284" s="3509">
        <v>39.659999999999997</v>
      </c>
      <c r="H284" s="3513" t="s">
        <v>673</v>
      </c>
      <c r="I284" s="3546">
        <v>1106</v>
      </c>
    </row>
    <row r="285" spans="1:9">
      <c r="A285" s="3916"/>
      <c r="B285" s="3907"/>
      <c r="C285" s="3907"/>
      <c r="D285" s="3909"/>
      <c r="E285" s="3509">
        <v>102</v>
      </c>
      <c r="F285" s="3522">
        <v>144.12</v>
      </c>
      <c r="G285" s="3509">
        <v>23.39</v>
      </c>
      <c r="H285" s="3513" t="s">
        <v>673</v>
      </c>
      <c r="I285" s="3546">
        <v>659</v>
      </c>
    </row>
    <row r="286" spans="1:9">
      <c r="A286" s="3916"/>
      <c r="B286" s="3907"/>
      <c r="C286" s="3907"/>
      <c r="D286" s="3909"/>
      <c r="E286" s="3509">
        <v>103</v>
      </c>
      <c r="F286" s="3522">
        <v>263.58</v>
      </c>
      <c r="G286" s="3509">
        <v>42.75</v>
      </c>
      <c r="H286" s="3513" t="s">
        <v>673</v>
      </c>
      <c r="I286" s="3546">
        <v>1193</v>
      </c>
    </row>
    <row r="287" spans="1:9">
      <c r="A287" s="3916"/>
      <c r="B287" s="3907"/>
      <c r="C287" s="3907"/>
      <c r="D287" s="3909"/>
      <c r="E287" s="3509">
        <v>201</v>
      </c>
      <c r="F287" s="3522">
        <v>781.63</v>
      </c>
      <c r="G287" s="3509">
        <v>126.8</v>
      </c>
      <c r="H287" s="3513" t="s">
        <v>673</v>
      </c>
      <c r="I287" s="3546">
        <v>2600</v>
      </c>
    </row>
    <row r="288" spans="1:9">
      <c r="A288" s="3916"/>
      <c r="B288" s="3907"/>
      <c r="C288" s="3907"/>
      <c r="D288" s="3909"/>
      <c r="E288" s="3509">
        <v>301</v>
      </c>
      <c r="F288" s="3522">
        <v>1349.46</v>
      </c>
      <c r="G288" s="3509">
        <v>218.89</v>
      </c>
      <c r="H288" s="3513" t="s">
        <v>21</v>
      </c>
      <c r="I288" s="3546">
        <v>3665</v>
      </c>
    </row>
    <row r="289" spans="1:9">
      <c r="A289" s="3916"/>
      <c r="B289" s="3907"/>
      <c r="C289" s="3907"/>
      <c r="D289" s="3909"/>
      <c r="E289" s="3509">
        <v>401</v>
      </c>
      <c r="F289" s="3522">
        <v>1349.46</v>
      </c>
      <c r="G289" s="3509">
        <v>218.89</v>
      </c>
      <c r="H289" s="3513" t="s">
        <v>21</v>
      </c>
      <c r="I289" s="3546">
        <v>3665</v>
      </c>
    </row>
    <row r="290" spans="1:9">
      <c r="A290" s="3916"/>
      <c r="B290" s="3907"/>
      <c r="C290" s="3907"/>
      <c r="D290" s="3909"/>
      <c r="E290" s="3509">
        <v>501</v>
      </c>
      <c r="F290" s="3522">
        <v>1349.46</v>
      </c>
      <c r="G290" s="3509">
        <v>218.89</v>
      </c>
      <c r="H290" s="3513" t="s">
        <v>21</v>
      </c>
      <c r="I290" s="3546">
        <v>3665</v>
      </c>
    </row>
    <row r="291" spans="1:9">
      <c r="A291" s="3916"/>
      <c r="B291" s="3907"/>
      <c r="C291" s="3907"/>
      <c r="D291" s="3909"/>
      <c r="E291" s="3509">
        <v>601</v>
      </c>
      <c r="F291" s="3522">
        <v>1349.46</v>
      </c>
      <c r="G291" s="3509">
        <v>218.89</v>
      </c>
      <c r="H291" s="3513" t="s">
        <v>21</v>
      </c>
      <c r="I291" s="3546">
        <v>3665</v>
      </c>
    </row>
    <row r="292" spans="1:9">
      <c r="A292" s="3916"/>
      <c r="B292" s="3907"/>
      <c r="C292" s="3907"/>
      <c r="D292" s="3909"/>
      <c r="E292" s="3509">
        <v>701</v>
      </c>
      <c r="F292" s="3522">
        <v>1349.46</v>
      </c>
      <c r="G292" s="3509">
        <v>218.89</v>
      </c>
      <c r="H292" s="3513" t="s">
        <v>21</v>
      </c>
      <c r="I292" s="3546">
        <v>3665</v>
      </c>
    </row>
    <row r="293" spans="1:9">
      <c r="A293" s="3916"/>
      <c r="B293" s="3907"/>
      <c r="C293" s="3907"/>
      <c r="D293" s="3909"/>
      <c r="E293" s="3505">
        <v>801</v>
      </c>
      <c r="F293" s="3515">
        <v>1349.46</v>
      </c>
      <c r="G293" s="3509">
        <v>218.89</v>
      </c>
      <c r="H293" s="3513" t="s">
        <v>21</v>
      </c>
      <c r="I293" s="3546">
        <v>3775</v>
      </c>
    </row>
    <row r="294" spans="1:9">
      <c r="A294" s="3916"/>
      <c r="B294" s="3907"/>
      <c r="C294" s="3907"/>
      <c r="D294" s="3909"/>
      <c r="E294" s="3505">
        <v>901</v>
      </c>
      <c r="F294" s="3515">
        <v>1349.46</v>
      </c>
      <c r="G294" s="3509">
        <v>218.89</v>
      </c>
      <c r="H294" s="3513" t="s">
        <v>21</v>
      </c>
      <c r="I294" s="3546">
        <v>3775</v>
      </c>
    </row>
    <row r="295" spans="1:9">
      <c r="A295" s="3917"/>
      <c r="B295" s="3918"/>
      <c r="C295" s="3918"/>
      <c r="D295" s="3919"/>
      <c r="E295" s="3505">
        <v>1001</v>
      </c>
      <c r="F295" s="3515">
        <v>1349.46</v>
      </c>
      <c r="G295" s="3509">
        <v>218.89</v>
      </c>
      <c r="H295" s="3513" t="s">
        <v>21</v>
      </c>
      <c r="I295" s="3546">
        <v>3775</v>
      </c>
    </row>
    <row r="296" spans="1:9">
      <c r="A296" s="3902" t="s">
        <v>3526</v>
      </c>
      <c r="B296" s="3902"/>
      <c r="C296" s="3902"/>
      <c r="D296" s="3902"/>
      <c r="E296" s="3902"/>
      <c r="F296" s="3520">
        <v>12229.45</v>
      </c>
      <c r="G296" s="3466">
        <v>1983.7199999999993</v>
      </c>
      <c r="H296" s="3506"/>
      <c r="I296" s="3520">
        <v>35208</v>
      </c>
    </row>
    <row r="297" spans="1:9" s="3472" customFormat="1">
      <c r="A297" s="3915">
        <v>2</v>
      </c>
      <c r="B297" s="3906" t="s">
        <v>3744</v>
      </c>
      <c r="C297" s="3906" t="s">
        <v>3745</v>
      </c>
      <c r="D297" s="3908" t="s">
        <v>3445</v>
      </c>
      <c r="E297" s="3509" t="s">
        <v>3534</v>
      </c>
      <c r="F297" s="3522">
        <v>327.87</v>
      </c>
      <c r="G297" s="3509">
        <v>53.18</v>
      </c>
      <c r="H297" s="3513" t="s">
        <v>21</v>
      </c>
      <c r="I297" s="3546">
        <v>899</v>
      </c>
    </row>
    <row r="298" spans="1:9" s="3472" customFormat="1">
      <c r="A298" s="3916"/>
      <c r="B298" s="3907"/>
      <c r="C298" s="3907"/>
      <c r="D298" s="3909"/>
      <c r="E298" s="3509" t="s">
        <v>3746</v>
      </c>
      <c r="F298" s="3522">
        <v>333.93</v>
      </c>
      <c r="G298" s="3509">
        <v>54.17</v>
      </c>
      <c r="H298" s="3513" t="s">
        <v>21</v>
      </c>
      <c r="I298" s="3546">
        <v>916</v>
      </c>
    </row>
    <row r="299" spans="1:9" s="3472" customFormat="1">
      <c r="A299" s="3916"/>
      <c r="B299" s="3907"/>
      <c r="C299" s="3907"/>
      <c r="D299" s="3909"/>
      <c r="E299" s="3509" t="s">
        <v>3747</v>
      </c>
      <c r="F299" s="3522">
        <v>1402.63</v>
      </c>
      <c r="G299" s="3509">
        <v>227.52</v>
      </c>
      <c r="H299" s="3513" t="s">
        <v>21</v>
      </c>
      <c r="I299" s="3546">
        <v>3809</v>
      </c>
    </row>
    <row r="300" spans="1:9" s="3472" customFormat="1">
      <c r="A300" s="3916"/>
      <c r="B300" s="3907"/>
      <c r="C300" s="3907"/>
      <c r="D300" s="3909"/>
      <c r="E300" s="3509" t="s">
        <v>3535</v>
      </c>
      <c r="F300" s="3522">
        <v>1637.57</v>
      </c>
      <c r="G300" s="3509">
        <v>265.63</v>
      </c>
      <c r="H300" s="3513" t="s">
        <v>21</v>
      </c>
      <c r="I300" s="3546">
        <v>4425</v>
      </c>
    </row>
    <row r="301" spans="1:9" s="3472" customFormat="1">
      <c r="A301" s="3916"/>
      <c r="B301" s="3907"/>
      <c r="C301" s="3907"/>
      <c r="D301" s="3909"/>
      <c r="E301" s="3509" t="s">
        <v>3536</v>
      </c>
      <c r="F301" s="3522">
        <v>1717.47</v>
      </c>
      <c r="G301" s="3509">
        <v>278.58999999999997</v>
      </c>
      <c r="H301" s="3513" t="s">
        <v>21</v>
      </c>
      <c r="I301" s="3546">
        <v>4641</v>
      </c>
    </row>
    <row r="302" spans="1:9" s="3472" customFormat="1">
      <c r="A302" s="3916"/>
      <c r="B302" s="3907"/>
      <c r="C302" s="3907"/>
      <c r="D302" s="3909"/>
      <c r="E302" s="3509" t="s">
        <v>3537</v>
      </c>
      <c r="F302" s="3522">
        <v>1717.47</v>
      </c>
      <c r="G302" s="3509">
        <v>278.58999999999997</v>
      </c>
      <c r="H302" s="3513" t="s">
        <v>21</v>
      </c>
      <c r="I302" s="3546">
        <v>4641</v>
      </c>
    </row>
    <row r="303" spans="1:9" s="3472" customFormat="1">
      <c r="A303" s="3916"/>
      <c r="B303" s="3907"/>
      <c r="C303" s="3907"/>
      <c r="D303" s="3909"/>
      <c r="E303" s="3509" t="s">
        <v>3538</v>
      </c>
      <c r="F303" s="3522">
        <v>1717.47</v>
      </c>
      <c r="G303" s="3509">
        <v>278.58999999999997</v>
      </c>
      <c r="H303" s="3513" t="s">
        <v>21</v>
      </c>
      <c r="I303" s="3546">
        <v>4780</v>
      </c>
    </row>
    <row r="304" spans="1:9" s="3472" customFormat="1">
      <c r="A304" s="3916"/>
      <c r="B304" s="3907"/>
      <c r="C304" s="3907"/>
      <c r="D304" s="3909"/>
      <c r="E304" s="3509" t="s">
        <v>3539</v>
      </c>
      <c r="F304" s="3522">
        <v>1717.47</v>
      </c>
      <c r="G304" s="3509">
        <v>278.58999999999997</v>
      </c>
      <c r="H304" s="3513" t="s">
        <v>21</v>
      </c>
      <c r="I304" s="3546">
        <v>4780</v>
      </c>
    </row>
    <row r="305" spans="1:9" s="3472" customFormat="1">
      <c r="A305" s="3916"/>
      <c r="B305" s="3907"/>
      <c r="C305" s="3907"/>
      <c r="D305" s="3909"/>
      <c r="E305" s="3509" t="s">
        <v>3748</v>
      </c>
      <c r="F305" s="3522">
        <v>1717.47</v>
      </c>
      <c r="G305" s="3509">
        <v>278.58999999999997</v>
      </c>
      <c r="H305" s="3513" t="s">
        <v>21</v>
      </c>
      <c r="I305" s="3546">
        <v>4780</v>
      </c>
    </row>
    <row r="306" spans="1:9" s="3472" customFormat="1">
      <c r="A306" s="3916"/>
      <c r="B306" s="3907"/>
      <c r="C306" s="3907"/>
      <c r="D306" s="3909"/>
      <c r="E306" s="3509" t="s">
        <v>3749</v>
      </c>
      <c r="F306" s="3522">
        <v>1717.47</v>
      </c>
      <c r="G306" s="3509">
        <v>278.58999999999997</v>
      </c>
      <c r="H306" s="3513" t="s">
        <v>21</v>
      </c>
      <c r="I306" s="3546">
        <v>4780</v>
      </c>
    </row>
    <row r="307" spans="1:9" s="3472" customFormat="1">
      <c r="A307" s="3916"/>
      <c r="B307" s="3907"/>
      <c r="C307" s="3907"/>
      <c r="D307" s="3909"/>
      <c r="E307" s="3509" t="s">
        <v>3750</v>
      </c>
      <c r="F307" s="3522">
        <v>1717.47</v>
      </c>
      <c r="G307" s="3509">
        <v>278.58999999999997</v>
      </c>
      <c r="H307" s="3513" t="s">
        <v>21</v>
      </c>
      <c r="I307" s="3546">
        <v>4780</v>
      </c>
    </row>
    <row r="308" spans="1:9" s="3472" customFormat="1">
      <c r="A308" s="3916"/>
      <c r="B308" s="3907"/>
      <c r="C308" s="3907"/>
      <c r="D308" s="3909"/>
      <c r="E308" s="3509" t="s">
        <v>3751</v>
      </c>
      <c r="F308" s="3522">
        <v>1717.47</v>
      </c>
      <c r="G308" s="3509">
        <v>278.58999999999997</v>
      </c>
      <c r="H308" s="3513" t="s">
        <v>21</v>
      </c>
      <c r="I308" s="3546">
        <v>4780</v>
      </c>
    </row>
    <row r="309" spans="1:9" s="3472" customFormat="1">
      <c r="A309" s="3916"/>
      <c r="B309" s="3907"/>
      <c r="C309" s="3907"/>
      <c r="D309" s="3909"/>
      <c r="E309" s="3509" t="s">
        <v>3752</v>
      </c>
      <c r="F309" s="3522">
        <v>1717.47</v>
      </c>
      <c r="G309" s="3509">
        <v>278.58999999999997</v>
      </c>
      <c r="H309" s="3513" t="s">
        <v>21</v>
      </c>
      <c r="I309" s="3546">
        <v>4920</v>
      </c>
    </row>
    <row r="310" spans="1:9" s="3472" customFormat="1">
      <c r="A310" s="3916"/>
      <c r="B310" s="3907"/>
      <c r="C310" s="3907"/>
      <c r="D310" s="3909"/>
      <c r="E310" s="3509" t="s">
        <v>3753</v>
      </c>
      <c r="F310" s="3522">
        <v>1007.74</v>
      </c>
      <c r="G310" s="3509">
        <v>163.46</v>
      </c>
      <c r="H310" s="3513" t="s">
        <v>21</v>
      </c>
      <c r="I310" s="3546">
        <v>2901</v>
      </c>
    </row>
    <row r="311" spans="1:9" s="3472" customFormat="1">
      <c r="A311" s="3916"/>
      <c r="B311" s="3907"/>
      <c r="C311" s="3907"/>
      <c r="D311" s="3909"/>
      <c r="E311" s="3509" t="s">
        <v>3754</v>
      </c>
      <c r="F311" s="3522">
        <v>1007.74</v>
      </c>
      <c r="G311" s="3509">
        <v>163.46</v>
      </c>
      <c r="H311" s="3513" t="s">
        <v>21</v>
      </c>
      <c r="I311" s="3546">
        <v>2901</v>
      </c>
    </row>
    <row r="312" spans="1:9" s="3472" customFormat="1">
      <c r="A312" s="3916"/>
      <c r="B312" s="3907"/>
      <c r="C312" s="3907"/>
      <c r="D312" s="3909"/>
      <c r="E312" s="3509" t="s">
        <v>3755</v>
      </c>
      <c r="F312" s="3522">
        <v>1717.47</v>
      </c>
      <c r="G312" s="3509">
        <v>278.58999999999997</v>
      </c>
      <c r="H312" s="3513" t="s">
        <v>21</v>
      </c>
      <c r="I312" s="3546">
        <v>4920</v>
      </c>
    </row>
    <row r="313" spans="1:9" s="3472" customFormat="1">
      <c r="A313" s="3916"/>
      <c r="B313" s="3907"/>
      <c r="C313" s="3907"/>
      <c r="D313" s="3909"/>
      <c r="E313" s="3509" t="s">
        <v>3756</v>
      </c>
      <c r="F313" s="3522">
        <v>1717.47</v>
      </c>
      <c r="G313" s="3509">
        <v>278.58999999999997</v>
      </c>
      <c r="H313" s="3513" t="s">
        <v>21</v>
      </c>
      <c r="I313" s="3546">
        <v>4920</v>
      </c>
    </row>
    <row r="314" spans="1:9" s="3472" customFormat="1">
      <c r="A314" s="3916"/>
      <c r="B314" s="3907"/>
      <c r="C314" s="3907"/>
      <c r="D314" s="3909"/>
      <c r="E314" s="3509" t="s">
        <v>3757</v>
      </c>
      <c r="F314" s="3522">
        <v>1717.47</v>
      </c>
      <c r="G314" s="3509">
        <v>278.58999999999997</v>
      </c>
      <c r="H314" s="3513" t="s">
        <v>21</v>
      </c>
      <c r="I314" s="3546">
        <v>4920</v>
      </c>
    </row>
    <row r="315" spans="1:9" s="3472" customFormat="1">
      <c r="A315" s="3916"/>
      <c r="B315" s="3907"/>
      <c r="C315" s="3907"/>
      <c r="D315" s="3909"/>
      <c r="E315" s="3514" t="s">
        <v>3758</v>
      </c>
      <c r="F315" s="3522">
        <v>1909.09</v>
      </c>
      <c r="G315" s="3509">
        <v>309.67</v>
      </c>
      <c r="H315" s="3513" t="s">
        <v>21</v>
      </c>
      <c r="I315" s="3546">
        <v>5159</v>
      </c>
    </row>
    <row r="316" spans="1:9" s="3472" customFormat="1">
      <c r="A316" s="3916"/>
      <c r="B316" s="3907"/>
      <c r="C316" s="3907"/>
      <c r="D316" s="3909"/>
      <c r="E316" s="3514" t="s">
        <v>3759</v>
      </c>
      <c r="F316" s="3522">
        <v>2123.52</v>
      </c>
      <c r="G316" s="3509">
        <v>344.45</v>
      </c>
      <c r="H316" s="3513" t="s">
        <v>21</v>
      </c>
      <c r="I316" s="3546">
        <v>5709</v>
      </c>
    </row>
    <row r="317" spans="1:9" s="3472" customFormat="1">
      <c r="A317" s="3916"/>
      <c r="B317" s="3907"/>
      <c r="C317" s="3907"/>
      <c r="D317" s="3909"/>
      <c r="E317" s="3514" t="s">
        <v>3760</v>
      </c>
      <c r="F317" s="3522">
        <v>2492.4899999999998</v>
      </c>
      <c r="G317" s="3509">
        <v>404.3</v>
      </c>
      <c r="H317" s="3513" t="s">
        <v>21</v>
      </c>
      <c r="I317" s="3546">
        <v>6701</v>
      </c>
    </row>
    <row r="318" spans="1:9" s="3472" customFormat="1">
      <c r="A318" s="3916"/>
      <c r="B318" s="3907"/>
      <c r="C318" s="3907"/>
      <c r="D318" s="3909"/>
      <c r="E318" s="3514" t="s">
        <v>3761</v>
      </c>
      <c r="F318" s="3522">
        <v>2492.4899999999998</v>
      </c>
      <c r="G318" s="3509">
        <v>404.3</v>
      </c>
      <c r="H318" s="3513" t="s">
        <v>21</v>
      </c>
      <c r="I318" s="3546">
        <v>6701</v>
      </c>
    </row>
    <row r="319" spans="1:9" s="3472" customFormat="1">
      <c r="A319" s="3916"/>
      <c r="B319" s="3907"/>
      <c r="C319" s="3907"/>
      <c r="D319" s="3909"/>
      <c r="E319" s="3514" t="s">
        <v>3762</v>
      </c>
      <c r="F319" s="3522">
        <v>2492.4899999999998</v>
      </c>
      <c r="G319" s="3509">
        <v>404.3</v>
      </c>
      <c r="H319" s="3513" t="s">
        <v>21</v>
      </c>
      <c r="I319" s="3546">
        <v>6902</v>
      </c>
    </row>
    <row r="320" spans="1:9" s="3472" customFormat="1">
      <c r="A320" s="3916"/>
      <c r="B320" s="3907"/>
      <c r="C320" s="3907"/>
      <c r="D320" s="3909"/>
      <c r="E320" s="3514" t="s">
        <v>3763</v>
      </c>
      <c r="F320" s="3522">
        <v>2492.4899999999998</v>
      </c>
      <c r="G320" s="3509">
        <v>404.3</v>
      </c>
      <c r="H320" s="3513" t="s">
        <v>21</v>
      </c>
      <c r="I320" s="3546">
        <v>6902</v>
      </c>
    </row>
    <row r="321" spans="1:9" s="3472" customFormat="1">
      <c r="A321" s="3916"/>
      <c r="B321" s="3907"/>
      <c r="C321" s="3907"/>
      <c r="D321" s="3909"/>
      <c r="E321" s="3509">
        <v>101</v>
      </c>
      <c r="F321" s="3522">
        <v>124.55</v>
      </c>
      <c r="G321" s="3509">
        <v>20.2</v>
      </c>
      <c r="H321" s="3513" t="s">
        <v>673</v>
      </c>
      <c r="I321" s="3546">
        <v>586</v>
      </c>
    </row>
    <row r="322" spans="1:9" s="3472" customFormat="1">
      <c r="A322" s="3916"/>
      <c r="B322" s="3907"/>
      <c r="C322" s="3907"/>
      <c r="D322" s="3909"/>
      <c r="E322" s="3509">
        <v>102</v>
      </c>
      <c r="F322" s="3522">
        <v>162.38999999999999</v>
      </c>
      <c r="G322" s="3509">
        <v>26.34</v>
      </c>
      <c r="H322" s="3513" t="s">
        <v>673</v>
      </c>
      <c r="I322" s="3546">
        <v>764</v>
      </c>
    </row>
    <row r="323" spans="1:9" s="3472" customFormat="1">
      <c r="A323" s="3916"/>
      <c r="B323" s="3907"/>
      <c r="C323" s="3907"/>
      <c r="D323" s="3909"/>
      <c r="E323" s="3509">
        <v>103</v>
      </c>
      <c r="F323" s="3522">
        <v>358.27</v>
      </c>
      <c r="G323" s="3509">
        <v>58.11</v>
      </c>
      <c r="H323" s="3513" t="s">
        <v>673</v>
      </c>
      <c r="I323" s="3546">
        <v>1653</v>
      </c>
    </row>
    <row r="324" spans="1:9" s="3472" customFormat="1">
      <c r="A324" s="3916"/>
      <c r="B324" s="3907"/>
      <c r="C324" s="3907"/>
      <c r="D324" s="3909"/>
      <c r="E324" s="3509">
        <v>104</v>
      </c>
      <c r="F324" s="3522">
        <v>485.46</v>
      </c>
      <c r="G324" s="3509">
        <v>78.760000000000005</v>
      </c>
      <c r="H324" s="3513" t="s">
        <v>673</v>
      </c>
      <c r="I324" s="3546">
        <v>2240</v>
      </c>
    </row>
    <row r="325" spans="1:9" s="3472" customFormat="1">
      <c r="A325" s="3916"/>
      <c r="B325" s="3907"/>
      <c r="C325" s="3907"/>
      <c r="D325" s="3909"/>
      <c r="E325" s="3509">
        <v>105</v>
      </c>
      <c r="F325" s="3522">
        <v>148.63</v>
      </c>
      <c r="G325" s="3509">
        <v>24.11</v>
      </c>
      <c r="H325" s="3513" t="s">
        <v>673</v>
      </c>
      <c r="I325" s="3546">
        <v>700</v>
      </c>
    </row>
    <row r="326" spans="1:9" s="3472" customFormat="1">
      <c r="A326" s="3916"/>
      <c r="B326" s="3907"/>
      <c r="C326" s="3907"/>
      <c r="D326" s="3909"/>
      <c r="E326" s="3509">
        <v>106</v>
      </c>
      <c r="F326" s="3522">
        <v>361.29</v>
      </c>
      <c r="G326" s="3509">
        <v>58.6</v>
      </c>
      <c r="H326" s="3513" t="s">
        <v>673</v>
      </c>
      <c r="I326" s="3546">
        <v>1667</v>
      </c>
    </row>
    <row r="327" spans="1:9" s="3472" customFormat="1">
      <c r="A327" s="3916"/>
      <c r="B327" s="3907"/>
      <c r="C327" s="3907"/>
      <c r="D327" s="3909"/>
      <c r="E327" s="3509">
        <v>107</v>
      </c>
      <c r="F327" s="3522">
        <v>468.37</v>
      </c>
      <c r="G327" s="3509">
        <v>75.97</v>
      </c>
      <c r="H327" s="3513" t="s">
        <v>673</v>
      </c>
      <c r="I327" s="3546">
        <v>2161</v>
      </c>
    </row>
    <row r="328" spans="1:9" s="3472" customFormat="1">
      <c r="A328" s="3916"/>
      <c r="B328" s="3907"/>
      <c r="C328" s="3907"/>
      <c r="D328" s="3909"/>
      <c r="E328" s="3509">
        <v>201</v>
      </c>
      <c r="F328" s="3522">
        <v>142.80000000000001</v>
      </c>
      <c r="G328" s="3509">
        <v>23.16</v>
      </c>
      <c r="H328" s="3513" t="s">
        <v>673</v>
      </c>
      <c r="I328" s="3546">
        <v>504</v>
      </c>
    </row>
    <row r="329" spans="1:9" s="3472" customFormat="1">
      <c r="A329" s="3916"/>
      <c r="B329" s="3907"/>
      <c r="C329" s="3907"/>
      <c r="D329" s="3909"/>
      <c r="E329" s="3509">
        <v>202</v>
      </c>
      <c r="F329" s="3522">
        <v>1603.05</v>
      </c>
      <c r="G329" s="3509">
        <v>260.02999999999997</v>
      </c>
      <c r="H329" s="3513" t="s">
        <v>673</v>
      </c>
      <c r="I329" s="3546">
        <v>5435</v>
      </c>
    </row>
    <row r="330" spans="1:9" s="3472" customFormat="1">
      <c r="A330" s="3917"/>
      <c r="B330" s="3918"/>
      <c r="C330" s="3918"/>
      <c r="D330" s="3919"/>
      <c r="E330" s="3509">
        <v>203</v>
      </c>
      <c r="F330" s="3522">
        <v>1275.1400000000001</v>
      </c>
      <c r="G330" s="3509">
        <v>206.85</v>
      </c>
      <c r="H330" s="3513" t="s">
        <v>673</v>
      </c>
      <c r="I330" s="3546">
        <v>4323</v>
      </c>
    </row>
    <row r="331" spans="1:9">
      <c r="A331" s="3902" t="s">
        <v>3526</v>
      </c>
      <c r="B331" s="3902"/>
      <c r="C331" s="3902"/>
      <c r="D331" s="3902"/>
      <c r="E331" s="3902"/>
      <c r="F331" s="3520">
        <v>45459.640000000007</v>
      </c>
      <c r="G331" s="3466">
        <v>7373.9500000000007</v>
      </c>
      <c r="H331" s="3506"/>
      <c r="I331" s="3520">
        <v>131600</v>
      </c>
    </row>
    <row r="332" spans="1:9" s="3472" customFormat="1">
      <c r="A332" s="3903">
        <v>4</v>
      </c>
      <c r="B332" s="3906" t="s">
        <v>3764</v>
      </c>
      <c r="C332" s="3906" t="s">
        <v>3765</v>
      </c>
      <c r="D332" s="3908" t="s">
        <v>3532</v>
      </c>
      <c r="E332" s="3505">
        <v>-101</v>
      </c>
      <c r="F332" s="3515">
        <v>103.88</v>
      </c>
      <c r="G332" s="3505">
        <v>16.850000000000001</v>
      </c>
      <c r="H332" s="3513" t="s">
        <v>673</v>
      </c>
      <c r="I332" s="3546">
        <v>216</v>
      </c>
    </row>
    <row r="333" spans="1:9" s="3472" customFormat="1">
      <c r="A333" s="3904"/>
      <c r="B333" s="3907"/>
      <c r="C333" s="3907"/>
      <c r="D333" s="3909"/>
      <c r="E333" s="3505">
        <v>-102</v>
      </c>
      <c r="F333" s="3515">
        <v>161.09</v>
      </c>
      <c r="G333" s="3505">
        <v>26.13</v>
      </c>
      <c r="H333" s="3513" t="s">
        <v>673</v>
      </c>
      <c r="I333" s="3546">
        <v>336</v>
      </c>
    </row>
    <row r="334" spans="1:9" s="3472" customFormat="1">
      <c r="A334" s="3904"/>
      <c r="B334" s="3907"/>
      <c r="C334" s="3907"/>
      <c r="D334" s="3909"/>
      <c r="E334" s="3505">
        <v>-103</v>
      </c>
      <c r="F334" s="3515">
        <v>166.84</v>
      </c>
      <c r="G334" s="3505">
        <v>27.06</v>
      </c>
      <c r="H334" s="3513" t="s">
        <v>673</v>
      </c>
      <c r="I334" s="3546">
        <v>348</v>
      </c>
    </row>
    <row r="335" spans="1:9" s="3472" customFormat="1">
      <c r="A335" s="3904"/>
      <c r="B335" s="3907"/>
      <c r="C335" s="3907"/>
      <c r="D335" s="3909"/>
      <c r="E335" s="3505">
        <v>-104</v>
      </c>
      <c r="F335" s="3515">
        <v>209.67</v>
      </c>
      <c r="G335" s="3505">
        <v>34.01</v>
      </c>
      <c r="H335" s="3513" t="s">
        <v>673</v>
      </c>
      <c r="I335" s="3546">
        <v>433</v>
      </c>
    </row>
    <row r="336" spans="1:9" s="3472" customFormat="1">
      <c r="A336" s="3904"/>
      <c r="B336" s="3907"/>
      <c r="C336" s="3907"/>
      <c r="D336" s="3909"/>
      <c r="E336" s="3505">
        <v>-105</v>
      </c>
      <c r="F336" s="3515">
        <v>509.5</v>
      </c>
      <c r="G336" s="3505">
        <v>82.65</v>
      </c>
      <c r="H336" s="3513" t="s">
        <v>673</v>
      </c>
      <c r="I336" s="3546">
        <v>1030</v>
      </c>
    </row>
    <row r="337" spans="1:9" s="3472" customFormat="1">
      <c r="A337" s="3904"/>
      <c r="B337" s="3907"/>
      <c r="C337" s="3907"/>
      <c r="D337" s="3909"/>
      <c r="E337" s="3505">
        <v>-106</v>
      </c>
      <c r="F337" s="3515">
        <v>185.51</v>
      </c>
      <c r="G337" s="3505">
        <v>30.09</v>
      </c>
      <c r="H337" s="3513" t="s">
        <v>673</v>
      </c>
      <c r="I337" s="3546">
        <v>387</v>
      </c>
    </row>
    <row r="338" spans="1:9" s="3472" customFormat="1">
      <c r="A338" s="3904"/>
      <c r="B338" s="3907"/>
      <c r="C338" s="3907"/>
      <c r="D338" s="3909"/>
      <c r="E338" s="3505">
        <v>-107</v>
      </c>
      <c r="F338" s="3515">
        <v>243.06</v>
      </c>
      <c r="G338" s="3505">
        <v>39.43</v>
      </c>
      <c r="H338" s="3513" t="s">
        <v>673</v>
      </c>
      <c r="I338" s="3546">
        <v>501</v>
      </c>
    </row>
    <row r="339" spans="1:9" s="3472" customFormat="1">
      <c r="A339" s="3904"/>
      <c r="B339" s="3907"/>
      <c r="C339" s="3907"/>
      <c r="D339" s="3909"/>
      <c r="E339" s="3509">
        <v>101</v>
      </c>
      <c r="F339" s="3522">
        <v>327.32</v>
      </c>
      <c r="G339" s="3505">
        <v>53.09</v>
      </c>
      <c r="H339" s="3513" t="s">
        <v>673</v>
      </c>
      <c r="I339" s="3546">
        <v>1380</v>
      </c>
    </row>
    <row r="340" spans="1:9" s="3472" customFormat="1">
      <c r="A340" s="3904"/>
      <c r="B340" s="3907"/>
      <c r="C340" s="3907"/>
      <c r="D340" s="3909"/>
      <c r="E340" s="3509">
        <v>102</v>
      </c>
      <c r="F340" s="3522">
        <v>138.91999999999999</v>
      </c>
      <c r="G340" s="3505">
        <v>22.53</v>
      </c>
      <c r="H340" s="3513" t="s">
        <v>673</v>
      </c>
      <c r="I340" s="3546">
        <v>597</v>
      </c>
    </row>
    <row r="341" spans="1:9" s="3472" customFormat="1">
      <c r="A341" s="3905"/>
      <c r="B341" s="3907"/>
      <c r="C341" s="3907"/>
      <c r="D341" s="3909"/>
      <c r="E341" s="3509">
        <v>103</v>
      </c>
      <c r="F341" s="3522">
        <v>329.32</v>
      </c>
      <c r="G341" s="3505">
        <v>53.42</v>
      </c>
      <c r="H341" s="3513" t="s">
        <v>673</v>
      </c>
      <c r="I341" s="3546">
        <v>1388</v>
      </c>
    </row>
    <row r="342" spans="1:9" s="3472" customFormat="1">
      <c r="A342" s="3902" t="s">
        <v>3526</v>
      </c>
      <c r="B342" s="3902"/>
      <c r="C342" s="3902"/>
      <c r="D342" s="3902"/>
      <c r="E342" s="3902"/>
      <c r="F342" s="3520">
        <v>2375.11</v>
      </c>
      <c r="G342" s="3466">
        <v>385.26000000000005</v>
      </c>
      <c r="H342" s="3506"/>
      <c r="I342" s="3520">
        <v>6616</v>
      </c>
    </row>
    <row r="343" spans="1:9" s="3472" customFormat="1">
      <c r="A343" s="3903">
        <v>6</v>
      </c>
      <c r="B343" s="3906" t="s">
        <v>3766</v>
      </c>
      <c r="C343" s="3906" t="s">
        <v>3767</v>
      </c>
      <c r="D343" s="3908" t="s">
        <v>3768</v>
      </c>
      <c r="E343" s="3509">
        <v>101</v>
      </c>
      <c r="F343" s="3521">
        <v>207.6</v>
      </c>
      <c r="G343" s="3471">
        <v>33.659999999999997</v>
      </c>
      <c r="H343" s="3513" t="s">
        <v>673</v>
      </c>
      <c r="I343" s="3546">
        <v>939</v>
      </c>
    </row>
    <row r="344" spans="1:9" s="3472" customFormat="1">
      <c r="A344" s="3904"/>
      <c r="B344" s="3907"/>
      <c r="C344" s="3907"/>
      <c r="D344" s="3909"/>
      <c r="E344" s="3509">
        <v>102</v>
      </c>
      <c r="F344" s="3521">
        <v>507.89</v>
      </c>
      <c r="G344" s="3471">
        <v>82.38</v>
      </c>
      <c r="H344" s="3513" t="s">
        <v>673</v>
      </c>
      <c r="I344" s="3546">
        <v>2252</v>
      </c>
    </row>
    <row r="345" spans="1:9" s="3472" customFormat="1">
      <c r="A345" s="3904"/>
      <c r="B345" s="3907"/>
      <c r="C345" s="3907"/>
      <c r="D345" s="3909"/>
      <c r="E345" s="3509">
        <v>201</v>
      </c>
      <c r="F345" s="3521">
        <v>1121.54</v>
      </c>
      <c r="G345" s="3471">
        <v>181.92</v>
      </c>
      <c r="H345" s="3469" t="s">
        <v>21</v>
      </c>
      <c r="I345" s="3552">
        <v>3046</v>
      </c>
    </row>
    <row r="346" spans="1:9" s="3472" customFormat="1">
      <c r="A346" s="3904"/>
      <c r="B346" s="3907"/>
      <c r="C346" s="3907"/>
      <c r="D346" s="3909"/>
      <c r="E346" s="3509">
        <v>301</v>
      </c>
      <c r="F346" s="3521">
        <v>1517.54</v>
      </c>
      <c r="G346" s="3471">
        <v>246.16</v>
      </c>
      <c r="H346" s="3469" t="s">
        <v>21</v>
      </c>
      <c r="I346" s="3552">
        <v>4101</v>
      </c>
    </row>
    <row r="347" spans="1:9" s="3472" customFormat="1">
      <c r="A347" s="3904"/>
      <c r="B347" s="3907"/>
      <c r="C347" s="3907"/>
      <c r="D347" s="3909"/>
      <c r="E347" s="3509">
        <v>401</v>
      </c>
      <c r="F347" s="3521">
        <v>1517.54</v>
      </c>
      <c r="G347" s="3471">
        <v>246.16</v>
      </c>
      <c r="H347" s="3469" t="s">
        <v>21</v>
      </c>
      <c r="I347" s="3552">
        <v>4101</v>
      </c>
    </row>
    <row r="348" spans="1:9" s="3472" customFormat="1">
      <c r="A348" s="3904"/>
      <c r="B348" s="3907"/>
      <c r="C348" s="3907"/>
      <c r="D348" s="3909"/>
      <c r="E348" s="3509">
        <v>501</v>
      </c>
      <c r="F348" s="3521">
        <v>1517.54</v>
      </c>
      <c r="G348" s="3471">
        <v>246.16</v>
      </c>
      <c r="H348" s="3469" t="s">
        <v>21</v>
      </c>
      <c r="I348" s="3552">
        <v>4101</v>
      </c>
    </row>
    <row r="349" spans="1:9" s="3472" customFormat="1">
      <c r="A349" s="3904"/>
      <c r="B349" s="3907"/>
      <c r="C349" s="3907"/>
      <c r="D349" s="3909"/>
      <c r="E349" s="3509">
        <v>601</v>
      </c>
      <c r="F349" s="3521">
        <v>1517.54</v>
      </c>
      <c r="G349" s="3471">
        <v>246.16</v>
      </c>
      <c r="H349" s="3469" t="s">
        <v>21</v>
      </c>
      <c r="I349" s="3552">
        <v>4101</v>
      </c>
    </row>
    <row r="350" spans="1:9" s="3472" customFormat="1">
      <c r="A350" s="3904"/>
      <c r="B350" s="3907"/>
      <c r="C350" s="3907"/>
      <c r="D350" s="3909"/>
      <c r="E350" s="3509">
        <v>701</v>
      </c>
      <c r="F350" s="3521">
        <v>1517.54</v>
      </c>
      <c r="G350" s="3471">
        <v>246.16</v>
      </c>
      <c r="H350" s="3469" t="s">
        <v>21</v>
      </c>
      <c r="I350" s="3552">
        <v>4224</v>
      </c>
    </row>
    <row r="351" spans="1:9" s="3472" customFormat="1">
      <c r="A351" s="3904"/>
      <c r="B351" s="3907"/>
      <c r="C351" s="3907"/>
      <c r="D351" s="3909"/>
      <c r="E351" s="3509">
        <v>801</v>
      </c>
      <c r="F351" s="3521">
        <v>1517.54</v>
      </c>
      <c r="G351" s="3471">
        <v>246.16</v>
      </c>
      <c r="H351" s="3469" t="s">
        <v>21</v>
      </c>
      <c r="I351" s="3552">
        <v>4224</v>
      </c>
    </row>
    <row r="352" spans="1:9" s="3472" customFormat="1">
      <c r="A352" s="3904"/>
      <c r="B352" s="3907"/>
      <c r="C352" s="3907"/>
      <c r="D352" s="3909"/>
      <c r="E352" s="3509">
        <v>901</v>
      </c>
      <c r="F352" s="3521">
        <v>1517.54</v>
      </c>
      <c r="G352" s="3471">
        <v>246.16</v>
      </c>
      <c r="H352" s="3469" t="s">
        <v>21</v>
      </c>
      <c r="I352" s="3552">
        <v>4224</v>
      </c>
    </row>
    <row r="353" spans="1:9" s="3472" customFormat="1">
      <c r="A353" s="3904"/>
      <c r="B353" s="3907"/>
      <c r="C353" s="3907"/>
      <c r="D353" s="3909"/>
      <c r="E353" s="3509">
        <v>1001</v>
      </c>
      <c r="F353" s="3521">
        <v>1517.54</v>
      </c>
      <c r="G353" s="3471">
        <v>246.16</v>
      </c>
      <c r="H353" s="3469" t="s">
        <v>21</v>
      </c>
      <c r="I353" s="3552">
        <v>4224</v>
      </c>
    </row>
    <row r="354" spans="1:9" s="3472" customFormat="1">
      <c r="A354" s="3904"/>
      <c r="B354" s="3907"/>
      <c r="C354" s="3907"/>
      <c r="D354" s="3909"/>
      <c r="E354" s="3509">
        <v>1101</v>
      </c>
      <c r="F354" s="3521">
        <v>1517.54</v>
      </c>
      <c r="G354" s="3471">
        <v>246.16</v>
      </c>
      <c r="H354" s="3469" t="s">
        <v>21</v>
      </c>
      <c r="I354" s="3552">
        <v>4224</v>
      </c>
    </row>
    <row r="355" spans="1:9" s="3472" customFormat="1">
      <c r="A355" s="3904"/>
      <c r="B355" s="3907"/>
      <c r="C355" s="3907"/>
      <c r="D355" s="3909"/>
      <c r="E355" s="3509">
        <v>1201</v>
      </c>
      <c r="F355" s="3521">
        <v>1517.54</v>
      </c>
      <c r="G355" s="3471">
        <v>246.16</v>
      </c>
      <c r="H355" s="3469" t="s">
        <v>21</v>
      </c>
      <c r="I355" s="3552">
        <v>4224</v>
      </c>
    </row>
    <row r="356" spans="1:9" s="3472" customFormat="1">
      <c r="A356" s="3904"/>
      <c r="B356" s="3907"/>
      <c r="C356" s="3907"/>
      <c r="D356" s="3909"/>
      <c r="E356" s="3509">
        <v>1301</v>
      </c>
      <c r="F356" s="3521">
        <v>1517.54</v>
      </c>
      <c r="G356" s="3471">
        <v>246.16</v>
      </c>
      <c r="H356" s="3469" t="s">
        <v>21</v>
      </c>
      <c r="I356" s="3552">
        <v>4347</v>
      </c>
    </row>
    <row r="357" spans="1:9" s="3472" customFormat="1">
      <c r="A357" s="3904"/>
      <c r="B357" s="3907"/>
      <c r="C357" s="3907"/>
      <c r="D357" s="3909"/>
      <c r="E357" s="3509">
        <v>1401</v>
      </c>
      <c r="F357" s="3521">
        <v>1517.54</v>
      </c>
      <c r="G357" s="3471">
        <v>246.16</v>
      </c>
      <c r="H357" s="3469" t="s">
        <v>21</v>
      </c>
      <c r="I357" s="3552">
        <v>4347</v>
      </c>
    </row>
    <row r="358" spans="1:9" s="3472" customFormat="1">
      <c r="A358" s="3904"/>
      <c r="B358" s="3907"/>
      <c r="C358" s="3907"/>
      <c r="D358" s="3909"/>
      <c r="E358" s="3509">
        <v>1501</v>
      </c>
      <c r="F358" s="3521">
        <v>1429.6</v>
      </c>
      <c r="G358" s="3471">
        <v>231.89</v>
      </c>
      <c r="H358" s="3469" t="s">
        <v>21</v>
      </c>
      <c r="I358" s="3552">
        <v>4115</v>
      </c>
    </row>
    <row r="359" spans="1:9" s="3472" customFormat="1">
      <c r="A359" s="3904"/>
      <c r="B359" s="3907"/>
      <c r="C359" s="3907"/>
      <c r="D359" s="3909"/>
      <c r="E359" s="3509">
        <v>1601</v>
      </c>
      <c r="F359" s="3521">
        <v>1517.54</v>
      </c>
      <c r="G359" s="3471">
        <v>246.16</v>
      </c>
      <c r="H359" s="3469" t="s">
        <v>21</v>
      </c>
      <c r="I359" s="3552">
        <v>4347</v>
      </c>
    </row>
    <row r="360" spans="1:9" s="3472" customFormat="1">
      <c r="A360" s="3904"/>
      <c r="B360" s="3907"/>
      <c r="C360" s="3907"/>
      <c r="D360" s="3909"/>
      <c r="E360" s="3509">
        <v>1701</v>
      </c>
      <c r="F360" s="3521">
        <v>1517.54</v>
      </c>
      <c r="G360" s="3471">
        <v>246.16</v>
      </c>
      <c r="H360" s="3469" t="s">
        <v>21</v>
      </c>
      <c r="I360" s="3552">
        <v>4347</v>
      </c>
    </row>
    <row r="361" spans="1:9" s="3472" customFormat="1">
      <c r="A361" s="3905"/>
      <c r="B361" s="3907"/>
      <c r="C361" s="3907"/>
      <c r="D361" s="3909"/>
      <c r="E361" s="3509">
        <v>1801</v>
      </c>
      <c r="F361" s="3521">
        <v>1517.54</v>
      </c>
      <c r="G361" s="3471">
        <v>246.16</v>
      </c>
      <c r="H361" s="3469" t="s">
        <v>21</v>
      </c>
      <c r="I361" s="3552">
        <v>4347</v>
      </c>
    </row>
    <row r="362" spans="1:9" s="3472" customFormat="1">
      <c r="A362" s="3902" t="s">
        <v>3526</v>
      </c>
      <c r="B362" s="3902"/>
      <c r="C362" s="3902"/>
      <c r="D362" s="3902"/>
      <c r="E362" s="3902"/>
      <c r="F362" s="3520">
        <v>26029.730000000007</v>
      </c>
      <c r="G362" s="3466">
        <v>4222.2499999999991</v>
      </c>
      <c r="H362" s="3506"/>
      <c r="I362" s="3520">
        <v>73835</v>
      </c>
    </row>
    <row r="363" spans="1:9" s="3472" customFormat="1">
      <c r="A363" s="3910">
        <v>7</v>
      </c>
      <c r="B363" s="3897" t="s">
        <v>3769</v>
      </c>
      <c r="C363" s="3897" t="s">
        <v>3770</v>
      </c>
      <c r="D363" s="3898" t="s">
        <v>3771</v>
      </c>
      <c r="E363" s="3524">
        <v>-302</v>
      </c>
      <c r="F363" s="3524">
        <v>35.380000000000003</v>
      </c>
      <c r="G363" s="3524">
        <v>5.74</v>
      </c>
      <c r="H363" s="3525" t="s">
        <v>4293</v>
      </c>
      <c r="I363" s="3553"/>
    </row>
    <row r="364" spans="1:9" s="3472" customFormat="1">
      <c r="A364" s="3911"/>
      <c r="B364" s="3897"/>
      <c r="C364" s="3897"/>
      <c r="D364" s="3898"/>
      <c r="E364" s="3509">
        <v>-101</v>
      </c>
      <c r="F364" s="3522">
        <v>165.31</v>
      </c>
      <c r="G364" s="3509">
        <v>26.81</v>
      </c>
      <c r="H364" s="3509" t="s">
        <v>4294</v>
      </c>
      <c r="I364" s="3546">
        <v>344</v>
      </c>
    </row>
    <row r="365" spans="1:9" s="3472" customFormat="1">
      <c r="A365" s="3911"/>
      <c r="B365" s="3897"/>
      <c r="C365" s="3897"/>
      <c r="D365" s="3898"/>
      <c r="E365" s="3509">
        <v>-102</v>
      </c>
      <c r="F365" s="3522">
        <v>157.99</v>
      </c>
      <c r="G365" s="3509">
        <v>25.63</v>
      </c>
      <c r="H365" s="3509" t="s">
        <v>4294</v>
      </c>
      <c r="I365" s="3546">
        <v>329</v>
      </c>
    </row>
    <row r="366" spans="1:9" s="3472" customFormat="1">
      <c r="A366" s="3911"/>
      <c r="B366" s="3897"/>
      <c r="C366" s="3897"/>
      <c r="D366" s="3898"/>
      <c r="E366" s="3509">
        <v>-103</v>
      </c>
      <c r="F366" s="3522">
        <v>170.45</v>
      </c>
      <c r="G366" s="3509">
        <v>27.65</v>
      </c>
      <c r="H366" s="3509" t="s">
        <v>4294</v>
      </c>
      <c r="I366" s="3546">
        <v>355</v>
      </c>
    </row>
    <row r="367" spans="1:9" s="3472" customFormat="1">
      <c r="A367" s="3911"/>
      <c r="B367" s="3897"/>
      <c r="C367" s="3897"/>
      <c r="D367" s="3898"/>
      <c r="E367" s="3509">
        <v>-104</v>
      </c>
      <c r="F367" s="3522">
        <v>183.16</v>
      </c>
      <c r="G367" s="3509">
        <v>29.71</v>
      </c>
      <c r="H367" s="3509" t="s">
        <v>4294</v>
      </c>
      <c r="I367" s="3546">
        <v>382</v>
      </c>
    </row>
    <row r="368" spans="1:9" s="3472" customFormat="1">
      <c r="A368" s="3911"/>
      <c r="B368" s="3897"/>
      <c r="C368" s="3897"/>
      <c r="D368" s="3898"/>
      <c r="E368" s="3509">
        <v>-105</v>
      </c>
      <c r="F368" s="3522">
        <v>176.13</v>
      </c>
      <c r="G368" s="3509">
        <v>28.57</v>
      </c>
      <c r="H368" s="3509" t="s">
        <v>4294</v>
      </c>
      <c r="I368" s="3546">
        <v>367</v>
      </c>
    </row>
    <row r="369" spans="1:9" s="3472" customFormat="1">
      <c r="A369" s="3911"/>
      <c r="B369" s="3897"/>
      <c r="C369" s="3897"/>
      <c r="D369" s="3898"/>
      <c r="E369" s="3509">
        <v>-106</v>
      </c>
      <c r="F369" s="3522">
        <v>255.37</v>
      </c>
      <c r="G369" s="3509">
        <v>41.42</v>
      </c>
      <c r="H369" s="3509" t="s">
        <v>4294</v>
      </c>
      <c r="I369" s="3546">
        <v>527</v>
      </c>
    </row>
    <row r="370" spans="1:9" s="3472" customFormat="1">
      <c r="A370" s="3911"/>
      <c r="B370" s="3897"/>
      <c r="C370" s="3897"/>
      <c r="D370" s="3898"/>
      <c r="E370" s="3509">
        <v>-107</v>
      </c>
      <c r="F370" s="3522">
        <v>228.94</v>
      </c>
      <c r="G370" s="3509">
        <v>37.14</v>
      </c>
      <c r="H370" s="3509" t="s">
        <v>4294</v>
      </c>
      <c r="I370" s="3546">
        <v>472</v>
      </c>
    </row>
    <row r="371" spans="1:9" s="3472" customFormat="1">
      <c r="A371" s="3911"/>
      <c r="B371" s="3897"/>
      <c r="C371" s="3897"/>
      <c r="D371" s="3898"/>
      <c r="E371" s="3509">
        <v>-108</v>
      </c>
      <c r="F371" s="3522">
        <v>408.34</v>
      </c>
      <c r="G371" s="3509">
        <v>66.239999999999995</v>
      </c>
      <c r="H371" s="3509" t="s">
        <v>4294</v>
      </c>
      <c r="I371" s="3546">
        <v>834</v>
      </c>
    </row>
    <row r="372" spans="1:9" s="3472" customFormat="1">
      <c r="A372" s="3911"/>
      <c r="B372" s="3897"/>
      <c r="C372" s="3897"/>
      <c r="D372" s="3898"/>
      <c r="E372" s="3509">
        <v>-109</v>
      </c>
      <c r="F372" s="3522">
        <v>266.61</v>
      </c>
      <c r="G372" s="3509">
        <v>43.25</v>
      </c>
      <c r="H372" s="3509" t="s">
        <v>4294</v>
      </c>
      <c r="I372" s="3546">
        <v>550</v>
      </c>
    </row>
    <row r="373" spans="1:9" s="3472" customFormat="1">
      <c r="A373" s="3911"/>
      <c r="B373" s="3897"/>
      <c r="C373" s="3897"/>
      <c r="D373" s="3898"/>
      <c r="E373" s="3509">
        <v>-110</v>
      </c>
      <c r="F373" s="3522">
        <v>276.13</v>
      </c>
      <c r="G373" s="3509">
        <v>44.79</v>
      </c>
      <c r="H373" s="3509" t="s">
        <v>4294</v>
      </c>
      <c r="I373" s="3546">
        <v>570</v>
      </c>
    </row>
    <row r="374" spans="1:9" s="3472" customFormat="1">
      <c r="A374" s="3911"/>
      <c r="B374" s="3897"/>
      <c r="C374" s="3897"/>
      <c r="D374" s="3898"/>
      <c r="E374" s="3509">
        <v>-111</v>
      </c>
      <c r="F374" s="3522">
        <v>183.98</v>
      </c>
      <c r="G374" s="3509">
        <v>29.84</v>
      </c>
      <c r="H374" s="3509" t="s">
        <v>4294</v>
      </c>
      <c r="I374" s="3546">
        <v>383</v>
      </c>
    </row>
    <row r="375" spans="1:9" s="3472" customFormat="1">
      <c r="A375" s="3911"/>
      <c r="B375" s="3897"/>
      <c r="C375" s="3897"/>
      <c r="D375" s="3898"/>
      <c r="E375" s="3509">
        <v>-112</v>
      </c>
      <c r="F375" s="3522">
        <v>162.04</v>
      </c>
      <c r="G375" s="3509">
        <v>26.28</v>
      </c>
      <c r="H375" s="3509" t="s">
        <v>4294</v>
      </c>
      <c r="I375" s="3546">
        <v>338</v>
      </c>
    </row>
    <row r="376" spans="1:9" s="3472" customFormat="1">
      <c r="A376" s="3911"/>
      <c r="B376" s="3897"/>
      <c r="C376" s="3897"/>
      <c r="D376" s="3898"/>
      <c r="E376" s="3509">
        <v>-113</v>
      </c>
      <c r="F376" s="3522">
        <v>276.98</v>
      </c>
      <c r="G376" s="3509">
        <v>44.93</v>
      </c>
      <c r="H376" s="3509" t="s">
        <v>4294</v>
      </c>
      <c r="I376" s="3546">
        <v>571</v>
      </c>
    </row>
    <row r="377" spans="1:9" s="3472" customFormat="1">
      <c r="A377" s="3911"/>
      <c r="B377" s="3897"/>
      <c r="C377" s="3897"/>
      <c r="D377" s="3898"/>
      <c r="E377" s="3509">
        <v>-114</v>
      </c>
      <c r="F377" s="3522">
        <v>724.45</v>
      </c>
      <c r="G377" s="3509">
        <v>117.51</v>
      </c>
      <c r="H377" s="3509" t="s">
        <v>4294</v>
      </c>
      <c r="I377" s="3546">
        <v>1465</v>
      </c>
    </row>
    <row r="378" spans="1:9" s="3472" customFormat="1">
      <c r="A378" s="3911"/>
      <c r="B378" s="3897"/>
      <c r="C378" s="3897"/>
      <c r="D378" s="3898"/>
      <c r="E378" s="3509">
        <v>-115</v>
      </c>
      <c r="F378" s="3522">
        <v>471.78</v>
      </c>
      <c r="G378" s="3509">
        <v>76.53</v>
      </c>
      <c r="H378" s="3509" t="s">
        <v>4294</v>
      </c>
      <c r="I378" s="3546">
        <v>964</v>
      </c>
    </row>
    <row r="379" spans="1:9" s="3472" customFormat="1">
      <c r="A379" s="3911"/>
      <c r="B379" s="3897"/>
      <c r="C379" s="3897"/>
      <c r="D379" s="3898"/>
      <c r="E379" s="3514" t="s">
        <v>3446</v>
      </c>
      <c r="F379" s="3522">
        <v>40.43</v>
      </c>
      <c r="G379" s="3509">
        <v>6.55</v>
      </c>
      <c r="H379" s="3505" t="s">
        <v>3557</v>
      </c>
      <c r="I379" s="3552">
        <v>19</v>
      </c>
    </row>
    <row r="380" spans="1:9" s="3472" customFormat="1">
      <c r="A380" s="3911"/>
      <c r="B380" s="3897"/>
      <c r="C380" s="3897"/>
      <c r="D380" s="3898"/>
      <c r="E380" s="3514" t="s">
        <v>3774</v>
      </c>
      <c r="F380" s="3522">
        <v>40.43</v>
      </c>
      <c r="G380" s="3509">
        <v>6.55</v>
      </c>
      <c r="H380" s="3505" t="s">
        <v>3557</v>
      </c>
      <c r="I380" s="3552">
        <v>19</v>
      </c>
    </row>
    <row r="381" spans="1:9" s="3472" customFormat="1">
      <c r="A381" s="3911"/>
      <c r="B381" s="3897"/>
      <c r="C381" s="3897"/>
      <c r="D381" s="3898"/>
      <c r="E381" s="3514" t="s">
        <v>3449</v>
      </c>
      <c r="F381" s="3522">
        <v>40.43</v>
      </c>
      <c r="G381" s="3509">
        <v>6.55</v>
      </c>
      <c r="H381" s="3505" t="s">
        <v>3557</v>
      </c>
      <c r="I381" s="3552">
        <v>19</v>
      </c>
    </row>
    <row r="382" spans="1:9" s="3472" customFormat="1">
      <c r="A382" s="3911"/>
      <c r="B382" s="3897"/>
      <c r="C382" s="3897"/>
      <c r="D382" s="3898"/>
      <c r="E382" s="3514" t="s">
        <v>3775</v>
      </c>
      <c r="F382" s="3522">
        <v>68.27</v>
      </c>
      <c r="G382" s="3509">
        <v>11.07</v>
      </c>
      <c r="H382" s="3505" t="s">
        <v>3557</v>
      </c>
      <c r="I382" s="3552">
        <v>31</v>
      </c>
    </row>
    <row r="383" spans="1:9" s="3472" customFormat="1">
      <c r="A383" s="3911"/>
      <c r="B383" s="3897"/>
      <c r="C383" s="3897"/>
      <c r="D383" s="3898"/>
      <c r="E383" s="3514" t="s">
        <v>3776</v>
      </c>
      <c r="F383" s="3522">
        <v>40.43</v>
      </c>
      <c r="G383" s="3509">
        <v>6.55</v>
      </c>
      <c r="H383" s="3505" t="s">
        <v>3557</v>
      </c>
      <c r="I383" s="3552">
        <v>19</v>
      </c>
    </row>
    <row r="384" spans="1:9" s="3472" customFormat="1">
      <c r="A384" s="3911"/>
      <c r="B384" s="3897"/>
      <c r="C384" s="3897"/>
      <c r="D384" s="3898"/>
      <c r="E384" s="3514" t="s">
        <v>3777</v>
      </c>
      <c r="F384" s="3522">
        <v>40.43</v>
      </c>
      <c r="G384" s="3509">
        <v>6.55</v>
      </c>
      <c r="H384" s="3505" t="s">
        <v>3557</v>
      </c>
      <c r="I384" s="3552">
        <v>19</v>
      </c>
    </row>
    <row r="385" spans="1:9" s="3472" customFormat="1">
      <c r="A385" s="3911"/>
      <c r="B385" s="3897"/>
      <c r="C385" s="3897"/>
      <c r="D385" s="3898"/>
      <c r="E385" s="3514" t="s">
        <v>3778</v>
      </c>
      <c r="F385" s="3522">
        <v>40.43</v>
      </c>
      <c r="G385" s="3509">
        <v>6.55</v>
      </c>
      <c r="H385" s="3505" t="s">
        <v>3557</v>
      </c>
      <c r="I385" s="3552">
        <v>19</v>
      </c>
    </row>
    <row r="386" spans="1:9" s="3472" customFormat="1">
      <c r="A386" s="3911"/>
      <c r="B386" s="3897"/>
      <c r="C386" s="3897"/>
      <c r="D386" s="3898"/>
      <c r="E386" s="3514" t="s">
        <v>3779</v>
      </c>
      <c r="F386" s="3522">
        <v>40.43</v>
      </c>
      <c r="G386" s="3509">
        <v>6.55</v>
      </c>
      <c r="H386" s="3505" t="s">
        <v>3557</v>
      </c>
      <c r="I386" s="3552">
        <v>19</v>
      </c>
    </row>
    <row r="387" spans="1:9" s="3472" customFormat="1">
      <c r="A387" s="3911"/>
      <c r="B387" s="3897"/>
      <c r="C387" s="3897"/>
      <c r="D387" s="3898"/>
      <c r="E387" s="3514" t="s">
        <v>3780</v>
      </c>
      <c r="F387" s="3522">
        <v>40.43</v>
      </c>
      <c r="G387" s="3509">
        <v>6.55</v>
      </c>
      <c r="H387" s="3505" t="s">
        <v>3557</v>
      </c>
      <c r="I387" s="3552">
        <v>19</v>
      </c>
    </row>
    <row r="388" spans="1:9" s="3472" customFormat="1">
      <c r="A388" s="3911"/>
      <c r="B388" s="3897"/>
      <c r="C388" s="3897"/>
      <c r="D388" s="3898"/>
      <c r="E388" s="3514" t="s">
        <v>3781</v>
      </c>
      <c r="F388" s="3522">
        <v>40.43</v>
      </c>
      <c r="G388" s="3509">
        <v>6.55</v>
      </c>
      <c r="H388" s="3505" t="s">
        <v>3557</v>
      </c>
      <c r="I388" s="3552">
        <v>19</v>
      </c>
    </row>
    <row r="389" spans="1:9" s="3472" customFormat="1">
      <c r="A389" s="3911"/>
      <c r="B389" s="3897"/>
      <c r="C389" s="3897"/>
      <c r="D389" s="3898"/>
      <c r="E389" s="3514" t="s">
        <v>3448</v>
      </c>
      <c r="F389" s="3522">
        <v>40.43</v>
      </c>
      <c r="G389" s="3509">
        <v>6.55</v>
      </c>
      <c r="H389" s="3505" t="s">
        <v>3557</v>
      </c>
      <c r="I389" s="3552">
        <v>19</v>
      </c>
    </row>
    <row r="390" spans="1:9" s="3472" customFormat="1">
      <c r="A390" s="3911"/>
      <c r="B390" s="3897"/>
      <c r="C390" s="3897"/>
      <c r="D390" s="3898"/>
      <c r="E390" s="3514" t="s">
        <v>3782</v>
      </c>
      <c r="F390" s="3522">
        <v>40.43</v>
      </c>
      <c r="G390" s="3509">
        <v>6.55</v>
      </c>
      <c r="H390" s="3505" t="s">
        <v>3557</v>
      </c>
      <c r="I390" s="3552">
        <v>19</v>
      </c>
    </row>
    <row r="391" spans="1:9" s="3472" customFormat="1">
      <c r="A391" s="3911"/>
      <c r="B391" s="3897"/>
      <c r="C391" s="3897"/>
      <c r="D391" s="3898"/>
      <c r="E391" s="3514" t="s">
        <v>3783</v>
      </c>
      <c r="F391" s="3522">
        <v>40.43</v>
      </c>
      <c r="G391" s="3509">
        <v>6.55</v>
      </c>
      <c r="H391" s="3505" t="s">
        <v>3557</v>
      </c>
      <c r="I391" s="3552">
        <v>19</v>
      </c>
    </row>
    <row r="392" spans="1:9" s="3472" customFormat="1">
      <c r="A392" s="3911"/>
      <c r="B392" s="3897"/>
      <c r="C392" s="3897"/>
      <c r="D392" s="3898"/>
      <c r="E392" s="3514" t="s">
        <v>3784</v>
      </c>
      <c r="F392" s="3522">
        <v>40.43</v>
      </c>
      <c r="G392" s="3509">
        <v>6.55</v>
      </c>
      <c r="H392" s="3505" t="s">
        <v>3557</v>
      </c>
      <c r="I392" s="3552">
        <v>19</v>
      </c>
    </row>
    <row r="393" spans="1:9" s="3472" customFormat="1">
      <c r="A393" s="3911"/>
      <c r="B393" s="3897"/>
      <c r="C393" s="3897"/>
      <c r="D393" s="3898"/>
      <c r="E393" s="3514" t="s">
        <v>3785</v>
      </c>
      <c r="F393" s="3522">
        <v>40.43</v>
      </c>
      <c r="G393" s="3509">
        <v>6.55</v>
      </c>
      <c r="H393" s="3505" t="s">
        <v>3557</v>
      </c>
      <c r="I393" s="3552">
        <v>19</v>
      </c>
    </row>
    <row r="394" spans="1:9" s="3472" customFormat="1">
      <c r="A394" s="3911"/>
      <c r="B394" s="3897"/>
      <c r="C394" s="3897"/>
      <c r="D394" s="3898"/>
      <c r="E394" s="3514" t="s">
        <v>3786</v>
      </c>
      <c r="F394" s="3522">
        <v>40.43</v>
      </c>
      <c r="G394" s="3509">
        <v>6.55</v>
      </c>
      <c r="H394" s="3505" t="s">
        <v>3557</v>
      </c>
      <c r="I394" s="3552">
        <v>19</v>
      </c>
    </row>
    <row r="395" spans="1:9" s="3472" customFormat="1">
      <c r="A395" s="3911"/>
      <c r="B395" s="3897"/>
      <c r="C395" s="3897"/>
      <c r="D395" s="3898"/>
      <c r="E395" s="3514" t="s">
        <v>3787</v>
      </c>
      <c r="F395" s="3522">
        <v>40.43</v>
      </c>
      <c r="G395" s="3509">
        <v>6.55</v>
      </c>
      <c r="H395" s="3505" t="s">
        <v>3557</v>
      </c>
      <c r="I395" s="3552">
        <v>19</v>
      </c>
    </row>
    <row r="396" spans="1:9" s="3472" customFormat="1">
      <c r="A396" s="3911"/>
      <c r="B396" s="3897"/>
      <c r="C396" s="3897"/>
      <c r="D396" s="3898"/>
      <c r="E396" s="3514" t="s">
        <v>3788</v>
      </c>
      <c r="F396" s="3522">
        <v>40.43</v>
      </c>
      <c r="G396" s="3509">
        <v>6.55</v>
      </c>
      <c r="H396" s="3505" t="s">
        <v>3557</v>
      </c>
      <c r="I396" s="3552">
        <v>19</v>
      </c>
    </row>
    <row r="397" spans="1:9" s="3472" customFormat="1">
      <c r="A397" s="3911"/>
      <c r="B397" s="3897"/>
      <c r="C397" s="3897"/>
      <c r="D397" s="3898"/>
      <c r="E397" s="3514" t="s">
        <v>3789</v>
      </c>
      <c r="F397" s="3522">
        <v>40.43</v>
      </c>
      <c r="G397" s="3509">
        <v>6.55</v>
      </c>
      <c r="H397" s="3505" t="s">
        <v>3557</v>
      </c>
      <c r="I397" s="3552">
        <v>19</v>
      </c>
    </row>
    <row r="398" spans="1:9" s="3472" customFormat="1">
      <c r="A398" s="3911"/>
      <c r="B398" s="3897"/>
      <c r="C398" s="3897"/>
      <c r="D398" s="3898"/>
      <c r="E398" s="3514" t="s">
        <v>3790</v>
      </c>
      <c r="F398" s="3522">
        <v>40.43</v>
      </c>
      <c r="G398" s="3509">
        <v>6.55</v>
      </c>
      <c r="H398" s="3505" t="s">
        <v>3557</v>
      </c>
      <c r="I398" s="3552">
        <v>19</v>
      </c>
    </row>
    <row r="399" spans="1:9" s="3472" customFormat="1">
      <c r="A399" s="3911"/>
      <c r="B399" s="3897"/>
      <c r="C399" s="3897"/>
      <c r="D399" s="3898"/>
      <c r="E399" s="3514" t="s">
        <v>3791</v>
      </c>
      <c r="F399" s="3522">
        <v>40.43</v>
      </c>
      <c r="G399" s="3509">
        <v>6.55</v>
      </c>
      <c r="H399" s="3505" t="s">
        <v>3557</v>
      </c>
      <c r="I399" s="3552">
        <v>19</v>
      </c>
    </row>
    <row r="400" spans="1:9" s="3472" customFormat="1">
      <c r="A400" s="3911"/>
      <c r="B400" s="3897" t="s">
        <v>3769</v>
      </c>
      <c r="C400" s="3897" t="s">
        <v>3770</v>
      </c>
      <c r="D400" s="3898" t="s">
        <v>3771</v>
      </c>
      <c r="E400" s="3514" t="s">
        <v>3792</v>
      </c>
      <c r="F400" s="3522">
        <v>40.43</v>
      </c>
      <c r="G400" s="3509">
        <v>6.55</v>
      </c>
      <c r="H400" s="3505" t="s">
        <v>3557</v>
      </c>
      <c r="I400" s="3552">
        <v>19</v>
      </c>
    </row>
    <row r="401" spans="1:9" s="3472" customFormat="1">
      <c r="A401" s="3911"/>
      <c r="B401" s="3897"/>
      <c r="C401" s="3897"/>
      <c r="D401" s="3898"/>
      <c r="E401" s="3514" t="s">
        <v>3793</v>
      </c>
      <c r="F401" s="3522">
        <v>40.43</v>
      </c>
      <c r="G401" s="3509">
        <v>6.55</v>
      </c>
      <c r="H401" s="3505" t="s">
        <v>3557</v>
      </c>
      <c r="I401" s="3552">
        <v>19</v>
      </c>
    </row>
    <row r="402" spans="1:9" s="3472" customFormat="1">
      <c r="A402" s="3911"/>
      <c r="B402" s="3897"/>
      <c r="C402" s="3897"/>
      <c r="D402" s="3898"/>
      <c r="E402" s="3514" t="s">
        <v>3794</v>
      </c>
      <c r="F402" s="3522">
        <v>40.43</v>
      </c>
      <c r="G402" s="3509">
        <v>6.55</v>
      </c>
      <c r="H402" s="3505" t="s">
        <v>3557</v>
      </c>
      <c r="I402" s="3552">
        <v>19</v>
      </c>
    </row>
    <row r="403" spans="1:9" s="3472" customFormat="1">
      <c r="A403" s="3911"/>
      <c r="B403" s="3897"/>
      <c r="C403" s="3897"/>
      <c r="D403" s="3898"/>
      <c r="E403" s="3514" t="s">
        <v>3795</v>
      </c>
      <c r="F403" s="3522">
        <v>40.43</v>
      </c>
      <c r="G403" s="3509">
        <v>6.55</v>
      </c>
      <c r="H403" s="3505" t="s">
        <v>3557</v>
      </c>
      <c r="I403" s="3552">
        <v>19</v>
      </c>
    </row>
    <row r="404" spans="1:9" s="3472" customFormat="1">
      <c r="A404" s="3911"/>
      <c r="B404" s="3897"/>
      <c r="C404" s="3897"/>
      <c r="D404" s="3898"/>
      <c r="E404" s="3514" t="s">
        <v>3796</v>
      </c>
      <c r="F404" s="3522">
        <v>40.43</v>
      </c>
      <c r="G404" s="3509">
        <v>6.55</v>
      </c>
      <c r="H404" s="3505" t="s">
        <v>3557</v>
      </c>
      <c r="I404" s="3552">
        <v>19</v>
      </c>
    </row>
    <row r="405" spans="1:9" s="3472" customFormat="1">
      <c r="A405" s="3911"/>
      <c r="B405" s="3897"/>
      <c r="C405" s="3897"/>
      <c r="D405" s="3898"/>
      <c r="E405" s="3514" t="s">
        <v>3797</v>
      </c>
      <c r="F405" s="3522">
        <v>40.43</v>
      </c>
      <c r="G405" s="3509">
        <v>6.55</v>
      </c>
      <c r="H405" s="3505" t="s">
        <v>3557</v>
      </c>
      <c r="I405" s="3552">
        <v>19</v>
      </c>
    </row>
    <row r="406" spans="1:9" s="3472" customFormat="1">
      <c r="A406" s="3911"/>
      <c r="B406" s="3897"/>
      <c r="C406" s="3897"/>
      <c r="D406" s="3898"/>
      <c r="E406" s="3514" t="s">
        <v>3798</v>
      </c>
      <c r="F406" s="3522">
        <v>80.86</v>
      </c>
      <c r="G406" s="3509">
        <v>13.12</v>
      </c>
      <c r="H406" s="3505" t="s">
        <v>3557</v>
      </c>
      <c r="I406" s="3552">
        <v>37</v>
      </c>
    </row>
    <row r="407" spans="1:9" s="3472" customFormat="1">
      <c r="A407" s="3911"/>
      <c r="B407" s="3897"/>
      <c r="C407" s="3897"/>
      <c r="D407" s="3898"/>
      <c r="E407" s="3514" t="s">
        <v>3799</v>
      </c>
      <c r="F407" s="3522">
        <v>40.43</v>
      </c>
      <c r="G407" s="3509">
        <v>6.55</v>
      </c>
      <c r="H407" s="3505" t="s">
        <v>3557</v>
      </c>
      <c r="I407" s="3552">
        <v>19</v>
      </c>
    </row>
    <row r="408" spans="1:9" s="3472" customFormat="1">
      <c r="A408" s="3911"/>
      <c r="B408" s="3897"/>
      <c r="C408" s="3897"/>
      <c r="D408" s="3898"/>
      <c r="E408" s="3514" t="s">
        <v>3800</v>
      </c>
      <c r="F408" s="3522">
        <v>40.43</v>
      </c>
      <c r="G408" s="3509">
        <v>6.55</v>
      </c>
      <c r="H408" s="3505" t="s">
        <v>3557</v>
      </c>
      <c r="I408" s="3552">
        <v>19</v>
      </c>
    </row>
    <row r="409" spans="1:9" s="3472" customFormat="1">
      <c r="A409" s="3911"/>
      <c r="B409" s="3897"/>
      <c r="C409" s="3897"/>
      <c r="D409" s="3898"/>
      <c r="E409" s="3514" t="s">
        <v>3801</v>
      </c>
      <c r="F409" s="3522">
        <v>40.43</v>
      </c>
      <c r="G409" s="3509">
        <v>6.55</v>
      </c>
      <c r="H409" s="3505" t="s">
        <v>3557</v>
      </c>
      <c r="I409" s="3552">
        <v>19</v>
      </c>
    </row>
    <row r="410" spans="1:9" s="3472" customFormat="1">
      <c r="A410" s="3911"/>
      <c r="B410" s="3897"/>
      <c r="C410" s="3897"/>
      <c r="D410" s="3898"/>
      <c r="E410" s="3514" t="s">
        <v>3802</v>
      </c>
      <c r="F410" s="3522">
        <v>40.43</v>
      </c>
      <c r="G410" s="3509">
        <v>6.55</v>
      </c>
      <c r="H410" s="3505" t="s">
        <v>3557</v>
      </c>
      <c r="I410" s="3552">
        <v>19</v>
      </c>
    </row>
    <row r="411" spans="1:9" s="3472" customFormat="1">
      <c r="A411" s="3911"/>
      <c r="B411" s="3897"/>
      <c r="C411" s="3897"/>
      <c r="D411" s="3898"/>
      <c r="E411" s="3514" t="s">
        <v>3803</v>
      </c>
      <c r="F411" s="3522">
        <v>68.27</v>
      </c>
      <c r="G411" s="3509">
        <v>11.07</v>
      </c>
      <c r="H411" s="3505" t="s">
        <v>3557</v>
      </c>
      <c r="I411" s="3552">
        <v>31</v>
      </c>
    </row>
    <row r="412" spans="1:9" s="3472" customFormat="1">
      <c r="A412" s="3911"/>
      <c r="B412" s="3897"/>
      <c r="C412" s="3897"/>
      <c r="D412" s="3898"/>
      <c r="E412" s="3514" t="s">
        <v>3804</v>
      </c>
      <c r="F412" s="3522">
        <v>40.43</v>
      </c>
      <c r="G412" s="3509">
        <v>6.55</v>
      </c>
      <c r="H412" s="3505" t="s">
        <v>3557</v>
      </c>
      <c r="I412" s="3552">
        <v>19</v>
      </c>
    </row>
    <row r="413" spans="1:9" s="3472" customFormat="1">
      <c r="A413" s="3911"/>
      <c r="B413" s="3897"/>
      <c r="C413" s="3897"/>
      <c r="D413" s="3898"/>
      <c r="E413" s="3514" t="s">
        <v>3805</v>
      </c>
      <c r="F413" s="3522">
        <v>40.43</v>
      </c>
      <c r="G413" s="3509">
        <v>6.55</v>
      </c>
      <c r="H413" s="3505" t="s">
        <v>3557</v>
      </c>
      <c r="I413" s="3552">
        <v>19</v>
      </c>
    </row>
    <row r="414" spans="1:9" s="3472" customFormat="1">
      <c r="A414" s="3911"/>
      <c r="B414" s="3897"/>
      <c r="C414" s="3897"/>
      <c r="D414" s="3898"/>
      <c r="E414" s="3514" t="s">
        <v>3806</v>
      </c>
      <c r="F414" s="3522">
        <v>40.43</v>
      </c>
      <c r="G414" s="3509">
        <v>6.55</v>
      </c>
      <c r="H414" s="3505" t="s">
        <v>3557</v>
      </c>
      <c r="I414" s="3552">
        <v>19</v>
      </c>
    </row>
    <row r="415" spans="1:9" s="3472" customFormat="1">
      <c r="A415" s="3911"/>
      <c r="B415" s="3897"/>
      <c r="C415" s="3897"/>
      <c r="D415" s="3898"/>
      <c r="E415" s="3514" t="s">
        <v>3807</v>
      </c>
      <c r="F415" s="3522">
        <v>40.43</v>
      </c>
      <c r="G415" s="3509">
        <v>6.55</v>
      </c>
      <c r="H415" s="3505" t="s">
        <v>3557</v>
      </c>
      <c r="I415" s="3552">
        <v>19</v>
      </c>
    </row>
    <row r="416" spans="1:9" s="3472" customFormat="1">
      <c r="A416" s="3911"/>
      <c r="B416" s="3897"/>
      <c r="C416" s="3897"/>
      <c r="D416" s="3898"/>
      <c r="E416" s="3514" t="s">
        <v>3808</v>
      </c>
      <c r="F416" s="3522">
        <v>80.86</v>
      </c>
      <c r="G416" s="3509">
        <v>13.12</v>
      </c>
      <c r="H416" s="3505" t="s">
        <v>3557</v>
      </c>
      <c r="I416" s="3552">
        <v>37</v>
      </c>
    </row>
    <row r="417" spans="1:9" s="3472" customFormat="1">
      <c r="A417" s="3911"/>
      <c r="B417" s="3897"/>
      <c r="C417" s="3897"/>
      <c r="D417" s="3898"/>
      <c r="E417" s="3514" t="s">
        <v>3809</v>
      </c>
      <c r="F417" s="3522">
        <v>80.86</v>
      </c>
      <c r="G417" s="3509">
        <v>13.12</v>
      </c>
      <c r="H417" s="3505" t="s">
        <v>3557</v>
      </c>
      <c r="I417" s="3552">
        <v>37</v>
      </c>
    </row>
    <row r="418" spans="1:9" s="3472" customFormat="1">
      <c r="A418" s="3911"/>
      <c r="B418" s="3897"/>
      <c r="C418" s="3897"/>
      <c r="D418" s="3898"/>
      <c r="E418" s="3514" t="s">
        <v>3810</v>
      </c>
      <c r="F418" s="3522">
        <v>80.86</v>
      </c>
      <c r="G418" s="3509">
        <v>13.12</v>
      </c>
      <c r="H418" s="3505" t="s">
        <v>3557</v>
      </c>
      <c r="I418" s="3552">
        <v>37</v>
      </c>
    </row>
    <row r="419" spans="1:9" s="3472" customFormat="1">
      <c r="A419" s="3911"/>
      <c r="B419" s="3897"/>
      <c r="C419" s="3897"/>
      <c r="D419" s="3898"/>
      <c r="E419" s="3514" t="s">
        <v>3811</v>
      </c>
      <c r="F419" s="3522">
        <v>80.86</v>
      </c>
      <c r="G419" s="3509">
        <v>13.12</v>
      </c>
      <c r="H419" s="3505" t="s">
        <v>3557</v>
      </c>
      <c r="I419" s="3552">
        <v>37</v>
      </c>
    </row>
    <row r="420" spans="1:9" s="3472" customFormat="1">
      <c r="A420" s="3911"/>
      <c r="B420" s="3897"/>
      <c r="C420" s="3897"/>
      <c r="D420" s="3898"/>
      <c r="E420" s="3514" t="s">
        <v>3812</v>
      </c>
      <c r="F420" s="3522">
        <v>80.86</v>
      </c>
      <c r="G420" s="3509">
        <v>13.12</v>
      </c>
      <c r="H420" s="3505" t="s">
        <v>3557</v>
      </c>
      <c r="I420" s="3552">
        <v>37</v>
      </c>
    </row>
    <row r="421" spans="1:9" s="3472" customFormat="1">
      <c r="A421" s="3911"/>
      <c r="B421" s="3897"/>
      <c r="C421" s="3897"/>
      <c r="D421" s="3898"/>
      <c r="E421" s="3514" t="s">
        <v>3813</v>
      </c>
      <c r="F421" s="3522">
        <v>40.43</v>
      </c>
      <c r="G421" s="3509">
        <v>6.55</v>
      </c>
      <c r="H421" s="3505" t="s">
        <v>3557</v>
      </c>
      <c r="I421" s="3552">
        <v>19</v>
      </c>
    </row>
    <row r="422" spans="1:9" s="3472" customFormat="1">
      <c r="A422" s="3911"/>
      <c r="B422" s="3897"/>
      <c r="C422" s="3897"/>
      <c r="D422" s="3898"/>
      <c r="E422" s="3514" t="s">
        <v>3814</v>
      </c>
      <c r="F422" s="3522">
        <v>40.43</v>
      </c>
      <c r="G422" s="3509">
        <v>6.55</v>
      </c>
      <c r="H422" s="3505" t="s">
        <v>3557</v>
      </c>
      <c r="I422" s="3552">
        <v>19</v>
      </c>
    </row>
    <row r="423" spans="1:9" s="3472" customFormat="1">
      <c r="A423" s="3911"/>
      <c r="B423" s="3897"/>
      <c r="C423" s="3897"/>
      <c r="D423" s="3898"/>
      <c r="E423" s="3514" t="s">
        <v>3815</v>
      </c>
      <c r="F423" s="3522">
        <v>40.43</v>
      </c>
      <c r="G423" s="3509">
        <v>6.55</v>
      </c>
      <c r="H423" s="3505" t="s">
        <v>3557</v>
      </c>
      <c r="I423" s="3552">
        <v>19</v>
      </c>
    </row>
    <row r="424" spans="1:9" s="3472" customFormat="1">
      <c r="A424" s="3911"/>
      <c r="B424" s="3897"/>
      <c r="C424" s="3897"/>
      <c r="D424" s="3898"/>
      <c r="E424" s="3514" t="s">
        <v>3816</v>
      </c>
      <c r="F424" s="3522">
        <v>40.43</v>
      </c>
      <c r="G424" s="3509">
        <v>6.55</v>
      </c>
      <c r="H424" s="3505" t="s">
        <v>3557</v>
      </c>
      <c r="I424" s="3552">
        <v>19</v>
      </c>
    </row>
    <row r="425" spans="1:9" s="3472" customFormat="1">
      <c r="A425" s="3911"/>
      <c r="B425" s="3897"/>
      <c r="C425" s="3897"/>
      <c r="D425" s="3898"/>
      <c r="E425" s="3514" t="s">
        <v>3817</v>
      </c>
      <c r="F425" s="3522">
        <v>40.43</v>
      </c>
      <c r="G425" s="3509">
        <v>6.55</v>
      </c>
      <c r="H425" s="3505" t="s">
        <v>3557</v>
      </c>
      <c r="I425" s="3552">
        <v>19</v>
      </c>
    </row>
    <row r="426" spans="1:9" s="3472" customFormat="1">
      <c r="A426" s="3911"/>
      <c r="B426" s="3897"/>
      <c r="C426" s="3897"/>
      <c r="D426" s="3898"/>
      <c r="E426" s="3514" t="s">
        <v>3818</v>
      </c>
      <c r="F426" s="3522">
        <v>40.43</v>
      </c>
      <c r="G426" s="3509">
        <v>6.55</v>
      </c>
      <c r="H426" s="3505" t="s">
        <v>3557</v>
      </c>
      <c r="I426" s="3552">
        <v>19</v>
      </c>
    </row>
    <row r="427" spans="1:9" s="3472" customFormat="1">
      <c r="A427" s="3911"/>
      <c r="B427" s="3897"/>
      <c r="C427" s="3897"/>
      <c r="D427" s="3898"/>
      <c r="E427" s="3514" t="s">
        <v>3819</v>
      </c>
      <c r="F427" s="3522">
        <v>40.43</v>
      </c>
      <c r="G427" s="3509">
        <v>6.55</v>
      </c>
      <c r="H427" s="3505" t="s">
        <v>3557</v>
      </c>
      <c r="I427" s="3552">
        <v>19</v>
      </c>
    </row>
    <row r="428" spans="1:9" s="3472" customFormat="1">
      <c r="A428" s="3911"/>
      <c r="B428" s="3897"/>
      <c r="C428" s="3897"/>
      <c r="D428" s="3898"/>
      <c r="E428" s="3514" t="s">
        <v>3820</v>
      </c>
      <c r="F428" s="3522">
        <v>40.43</v>
      </c>
      <c r="G428" s="3509">
        <v>6.55</v>
      </c>
      <c r="H428" s="3505" t="s">
        <v>3557</v>
      </c>
      <c r="I428" s="3552">
        <v>19</v>
      </c>
    </row>
    <row r="429" spans="1:9" s="3472" customFormat="1">
      <c r="A429" s="3911"/>
      <c r="B429" s="3897"/>
      <c r="C429" s="3897"/>
      <c r="D429" s="3898"/>
      <c r="E429" s="3514" t="s">
        <v>3821</v>
      </c>
      <c r="F429" s="3522">
        <v>40.43</v>
      </c>
      <c r="G429" s="3509">
        <v>6.55</v>
      </c>
      <c r="H429" s="3505" t="s">
        <v>3557</v>
      </c>
      <c r="I429" s="3552">
        <v>19</v>
      </c>
    </row>
    <row r="430" spans="1:9" s="3472" customFormat="1">
      <c r="A430" s="3911"/>
      <c r="B430" s="3897"/>
      <c r="C430" s="3897"/>
      <c r="D430" s="3898"/>
      <c r="E430" s="3514" t="s">
        <v>3822</v>
      </c>
      <c r="F430" s="3522">
        <v>40.43</v>
      </c>
      <c r="G430" s="3509">
        <v>6.55</v>
      </c>
      <c r="H430" s="3505" t="s">
        <v>3557</v>
      </c>
      <c r="I430" s="3552">
        <v>19</v>
      </c>
    </row>
    <row r="431" spans="1:9" s="3472" customFormat="1">
      <c r="A431" s="3911"/>
      <c r="B431" s="3897"/>
      <c r="C431" s="3897"/>
      <c r="D431" s="3898"/>
      <c r="E431" s="3514" t="s">
        <v>3823</v>
      </c>
      <c r="F431" s="3522">
        <v>40.43</v>
      </c>
      <c r="G431" s="3509">
        <v>6.55</v>
      </c>
      <c r="H431" s="3505" t="s">
        <v>3557</v>
      </c>
      <c r="I431" s="3552">
        <v>19</v>
      </c>
    </row>
    <row r="432" spans="1:9" s="3472" customFormat="1">
      <c r="A432" s="3911"/>
      <c r="B432" s="3897"/>
      <c r="C432" s="3897"/>
      <c r="D432" s="3898"/>
      <c r="E432" s="3514" t="s">
        <v>3824</v>
      </c>
      <c r="F432" s="3522">
        <v>40.43</v>
      </c>
      <c r="G432" s="3509">
        <v>6.55</v>
      </c>
      <c r="H432" s="3505" t="s">
        <v>3557</v>
      </c>
      <c r="I432" s="3552">
        <v>19</v>
      </c>
    </row>
    <row r="433" spans="1:9" s="3472" customFormat="1">
      <c r="A433" s="3911"/>
      <c r="B433" s="3897"/>
      <c r="C433" s="3897"/>
      <c r="D433" s="3898"/>
      <c r="E433" s="3514" t="s">
        <v>3825</v>
      </c>
      <c r="F433" s="3522">
        <v>40.43</v>
      </c>
      <c r="G433" s="3509">
        <v>6.55</v>
      </c>
      <c r="H433" s="3505" t="s">
        <v>3557</v>
      </c>
      <c r="I433" s="3552">
        <v>19</v>
      </c>
    </row>
    <row r="434" spans="1:9" s="3472" customFormat="1">
      <c r="A434" s="3911"/>
      <c r="B434" s="3897"/>
      <c r="C434" s="3897"/>
      <c r="D434" s="3898"/>
      <c r="E434" s="3514" t="s">
        <v>3826</v>
      </c>
      <c r="F434" s="3522">
        <v>40.43</v>
      </c>
      <c r="G434" s="3509">
        <v>6.55</v>
      </c>
      <c r="H434" s="3505" t="s">
        <v>3557</v>
      </c>
      <c r="I434" s="3552">
        <v>19</v>
      </c>
    </row>
    <row r="435" spans="1:9" s="3472" customFormat="1">
      <c r="A435" s="3911"/>
      <c r="B435" s="3897"/>
      <c r="C435" s="3897"/>
      <c r="D435" s="3898"/>
      <c r="E435" s="3514" t="s">
        <v>3827</v>
      </c>
      <c r="F435" s="3522">
        <v>40.43</v>
      </c>
      <c r="G435" s="3509">
        <v>6.55</v>
      </c>
      <c r="H435" s="3505" t="s">
        <v>3557</v>
      </c>
      <c r="I435" s="3552">
        <v>19</v>
      </c>
    </row>
    <row r="436" spans="1:9" s="3472" customFormat="1">
      <c r="A436" s="3911"/>
      <c r="B436" s="3897"/>
      <c r="C436" s="3897"/>
      <c r="D436" s="3898"/>
      <c r="E436" s="3514" t="s">
        <v>3828</v>
      </c>
      <c r="F436" s="3522">
        <v>40.43</v>
      </c>
      <c r="G436" s="3509">
        <v>6.55</v>
      </c>
      <c r="H436" s="3505" t="s">
        <v>3557</v>
      </c>
      <c r="I436" s="3552">
        <v>19</v>
      </c>
    </row>
    <row r="437" spans="1:9" s="3472" customFormat="1">
      <c r="A437" s="3911"/>
      <c r="B437" s="3897" t="s">
        <v>3769</v>
      </c>
      <c r="C437" s="3897" t="s">
        <v>3770</v>
      </c>
      <c r="D437" s="3898" t="s">
        <v>3771</v>
      </c>
      <c r="E437" s="3514" t="s">
        <v>3829</v>
      </c>
      <c r="F437" s="3522">
        <v>40.43</v>
      </c>
      <c r="G437" s="3509">
        <v>6.55</v>
      </c>
      <c r="H437" s="3505" t="s">
        <v>3557</v>
      </c>
      <c r="I437" s="3552">
        <v>19</v>
      </c>
    </row>
    <row r="438" spans="1:9" s="3472" customFormat="1">
      <c r="A438" s="3911"/>
      <c r="B438" s="3897"/>
      <c r="C438" s="3897"/>
      <c r="D438" s="3898"/>
      <c r="E438" s="3514" t="s">
        <v>3830</v>
      </c>
      <c r="F438" s="3522">
        <v>40.43</v>
      </c>
      <c r="G438" s="3509">
        <v>6.55</v>
      </c>
      <c r="H438" s="3505" t="s">
        <v>3557</v>
      </c>
      <c r="I438" s="3552">
        <v>19</v>
      </c>
    </row>
    <row r="439" spans="1:9" s="3472" customFormat="1">
      <c r="A439" s="3911"/>
      <c r="B439" s="3897"/>
      <c r="C439" s="3897"/>
      <c r="D439" s="3898"/>
      <c r="E439" s="3514" t="s">
        <v>3831</v>
      </c>
      <c r="F439" s="3522">
        <v>40.43</v>
      </c>
      <c r="G439" s="3509">
        <v>6.55</v>
      </c>
      <c r="H439" s="3505" t="s">
        <v>3557</v>
      </c>
      <c r="I439" s="3552">
        <v>19</v>
      </c>
    </row>
    <row r="440" spans="1:9" s="3472" customFormat="1">
      <c r="A440" s="3911"/>
      <c r="B440" s="3897"/>
      <c r="C440" s="3897"/>
      <c r="D440" s="3898"/>
      <c r="E440" s="3514" t="s">
        <v>3832</v>
      </c>
      <c r="F440" s="3522">
        <v>40.43</v>
      </c>
      <c r="G440" s="3509">
        <v>6.55</v>
      </c>
      <c r="H440" s="3505" t="s">
        <v>3557</v>
      </c>
      <c r="I440" s="3552">
        <v>19</v>
      </c>
    </row>
    <row r="441" spans="1:9" s="3472" customFormat="1">
      <c r="A441" s="3911"/>
      <c r="B441" s="3897"/>
      <c r="C441" s="3897"/>
      <c r="D441" s="3898"/>
      <c r="E441" s="3514" t="s">
        <v>3833</v>
      </c>
      <c r="F441" s="3522">
        <v>40.43</v>
      </c>
      <c r="G441" s="3509">
        <v>6.55</v>
      </c>
      <c r="H441" s="3505" t="s">
        <v>3557</v>
      </c>
      <c r="I441" s="3552">
        <v>19</v>
      </c>
    </row>
    <row r="442" spans="1:9" s="3472" customFormat="1">
      <c r="A442" s="3911"/>
      <c r="B442" s="3897"/>
      <c r="C442" s="3897"/>
      <c r="D442" s="3898"/>
      <c r="E442" s="3514" t="s">
        <v>3834</v>
      </c>
      <c r="F442" s="3522">
        <v>40.43</v>
      </c>
      <c r="G442" s="3509">
        <v>6.55</v>
      </c>
      <c r="H442" s="3505" t="s">
        <v>3557</v>
      </c>
      <c r="I442" s="3552">
        <v>19</v>
      </c>
    </row>
    <row r="443" spans="1:9" s="3472" customFormat="1">
      <c r="A443" s="3911"/>
      <c r="B443" s="3897"/>
      <c r="C443" s="3897"/>
      <c r="D443" s="3898"/>
      <c r="E443" s="3514" t="s">
        <v>3835</v>
      </c>
      <c r="F443" s="3522">
        <v>40.43</v>
      </c>
      <c r="G443" s="3509">
        <v>6.55</v>
      </c>
      <c r="H443" s="3505" t="s">
        <v>3557</v>
      </c>
      <c r="I443" s="3552">
        <v>19</v>
      </c>
    </row>
    <row r="444" spans="1:9" s="3472" customFormat="1">
      <c r="A444" s="3911"/>
      <c r="B444" s="3897"/>
      <c r="C444" s="3897"/>
      <c r="D444" s="3898"/>
      <c r="E444" s="3514" t="s">
        <v>3836</v>
      </c>
      <c r="F444" s="3522">
        <v>68.27</v>
      </c>
      <c r="G444" s="3509">
        <v>11.07</v>
      </c>
      <c r="H444" s="3505" t="s">
        <v>3557</v>
      </c>
      <c r="I444" s="3552">
        <v>31</v>
      </c>
    </row>
    <row r="445" spans="1:9" s="3472" customFormat="1">
      <c r="A445" s="3911"/>
      <c r="B445" s="3897"/>
      <c r="C445" s="3897"/>
      <c r="D445" s="3898"/>
      <c r="E445" s="3514" t="s">
        <v>3837</v>
      </c>
      <c r="F445" s="3522">
        <v>68.27</v>
      </c>
      <c r="G445" s="3509">
        <v>11.07</v>
      </c>
      <c r="H445" s="3505" t="s">
        <v>3557</v>
      </c>
      <c r="I445" s="3552">
        <v>31</v>
      </c>
    </row>
    <row r="446" spans="1:9" s="3472" customFormat="1">
      <c r="A446" s="3911"/>
      <c r="B446" s="3897"/>
      <c r="C446" s="3897"/>
      <c r="D446" s="3898"/>
      <c r="E446" s="3514" t="s">
        <v>3838</v>
      </c>
      <c r="F446" s="3522">
        <v>40.43</v>
      </c>
      <c r="G446" s="3509">
        <v>6.55</v>
      </c>
      <c r="H446" s="3505" t="s">
        <v>3557</v>
      </c>
      <c r="I446" s="3552">
        <v>19</v>
      </c>
    </row>
    <row r="447" spans="1:9" s="3472" customFormat="1">
      <c r="A447" s="3911"/>
      <c r="B447" s="3897"/>
      <c r="C447" s="3897"/>
      <c r="D447" s="3898"/>
      <c r="E447" s="3514" t="s">
        <v>3839</v>
      </c>
      <c r="F447" s="3522">
        <v>40.43</v>
      </c>
      <c r="G447" s="3509">
        <v>6.55</v>
      </c>
      <c r="H447" s="3505" t="s">
        <v>3557</v>
      </c>
      <c r="I447" s="3552">
        <v>19</v>
      </c>
    </row>
    <row r="448" spans="1:9" s="3472" customFormat="1">
      <c r="A448" s="3911"/>
      <c r="B448" s="3897"/>
      <c r="C448" s="3897"/>
      <c r="D448" s="3898"/>
      <c r="E448" s="3514" t="s">
        <v>3840</v>
      </c>
      <c r="F448" s="3522">
        <v>40.43</v>
      </c>
      <c r="G448" s="3509">
        <v>6.55</v>
      </c>
      <c r="H448" s="3505" t="s">
        <v>3557</v>
      </c>
      <c r="I448" s="3552">
        <v>19</v>
      </c>
    </row>
    <row r="449" spans="1:9" s="3472" customFormat="1">
      <c r="A449" s="3911"/>
      <c r="B449" s="3897"/>
      <c r="C449" s="3897"/>
      <c r="D449" s="3898"/>
      <c r="E449" s="3514" t="s">
        <v>3841</v>
      </c>
      <c r="F449" s="3522">
        <v>40.43</v>
      </c>
      <c r="G449" s="3509">
        <v>6.55</v>
      </c>
      <c r="H449" s="3505" t="s">
        <v>3557</v>
      </c>
      <c r="I449" s="3552">
        <v>19</v>
      </c>
    </row>
    <row r="450" spans="1:9" s="3472" customFormat="1">
      <c r="A450" s="3911"/>
      <c r="B450" s="3897"/>
      <c r="C450" s="3897"/>
      <c r="D450" s="3898"/>
      <c r="E450" s="3514" t="s">
        <v>3842</v>
      </c>
      <c r="F450" s="3522">
        <v>40.43</v>
      </c>
      <c r="G450" s="3509">
        <v>6.55</v>
      </c>
      <c r="H450" s="3505" t="s">
        <v>3557</v>
      </c>
      <c r="I450" s="3552">
        <v>19</v>
      </c>
    </row>
    <row r="451" spans="1:9" s="3472" customFormat="1">
      <c r="A451" s="3911"/>
      <c r="B451" s="3897"/>
      <c r="C451" s="3897"/>
      <c r="D451" s="3898"/>
      <c r="E451" s="3514" t="s">
        <v>3843</v>
      </c>
      <c r="F451" s="3522">
        <v>40.43</v>
      </c>
      <c r="G451" s="3509">
        <v>6.55</v>
      </c>
      <c r="H451" s="3505" t="s">
        <v>3557</v>
      </c>
      <c r="I451" s="3552">
        <v>19</v>
      </c>
    </row>
    <row r="452" spans="1:9" s="3472" customFormat="1">
      <c r="A452" s="3911"/>
      <c r="B452" s="3897"/>
      <c r="C452" s="3897"/>
      <c r="D452" s="3898"/>
      <c r="E452" s="3514" t="s">
        <v>3844</v>
      </c>
      <c r="F452" s="3522">
        <v>40.43</v>
      </c>
      <c r="G452" s="3509">
        <v>6.55</v>
      </c>
      <c r="H452" s="3505" t="s">
        <v>3557</v>
      </c>
      <c r="I452" s="3552">
        <v>19</v>
      </c>
    </row>
    <row r="453" spans="1:9" s="3472" customFormat="1">
      <c r="A453" s="3911"/>
      <c r="B453" s="3897"/>
      <c r="C453" s="3897"/>
      <c r="D453" s="3898"/>
      <c r="E453" s="3514" t="s">
        <v>3845</v>
      </c>
      <c r="F453" s="3522">
        <v>40.43</v>
      </c>
      <c r="G453" s="3509">
        <v>6.55</v>
      </c>
      <c r="H453" s="3505" t="s">
        <v>3557</v>
      </c>
      <c r="I453" s="3552">
        <v>19</v>
      </c>
    </row>
    <row r="454" spans="1:9" s="3472" customFormat="1">
      <c r="A454" s="3911"/>
      <c r="B454" s="3897"/>
      <c r="C454" s="3897"/>
      <c r="D454" s="3898"/>
      <c r="E454" s="3514" t="s">
        <v>3846</v>
      </c>
      <c r="F454" s="3522">
        <v>40.43</v>
      </c>
      <c r="G454" s="3509">
        <v>6.55</v>
      </c>
      <c r="H454" s="3505" t="s">
        <v>3557</v>
      </c>
      <c r="I454" s="3552">
        <v>19</v>
      </c>
    </row>
    <row r="455" spans="1:9" s="3472" customFormat="1">
      <c r="A455" s="3911"/>
      <c r="B455" s="3897"/>
      <c r="C455" s="3897"/>
      <c r="D455" s="3898"/>
      <c r="E455" s="3514" t="s">
        <v>3847</v>
      </c>
      <c r="F455" s="3522">
        <v>40.43</v>
      </c>
      <c r="G455" s="3509">
        <v>6.55</v>
      </c>
      <c r="H455" s="3505" t="s">
        <v>3557</v>
      </c>
      <c r="I455" s="3552">
        <v>19</v>
      </c>
    </row>
    <row r="456" spans="1:9" s="3472" customFormat="1">
      <c r="A456" s="3911"/>
      <c r="B456" s="3897"/>
      <c r="C456" s="3897"/>
      <c r="D456" s="3898"/>
      <c r="E456" s="3514" t="s">
        <v>3848</v>
      </c>
      <c r="F456" s="3522">
        <v>40.43</v>
      </c>
      <c r="G456" s="3509">
        <v>6.55</v>
      </c>
      <c r="H456" s="3505" t="s">
        <v>3557</v>
      </c>
      <c r="I456" s="3552">
        <v>19</v>
      </c>
    </row>
    <row r="457" spans="1:9" s="3472" customFormat="1">
      <c r="A457" s="3911"/>
      <c r="B457" s="3897"/>
      <c r="C457" s="3897"/>
      <c r="D457" s="3898"/>
      <c r="E457" s="3514" t="s">
        <v>3849</v>
      </c>
      <c r="F457" s="3522">
        <v>80.86</v>
      </c>
      <c r="G457" s="3509">
        <v>13.12</v>
      </c>
      <c r="H457" s="3505" t="s">
        <v>3557</v>
      </c>
      <c r="I457" s="3552">
        <v>37</v>
      </c>
    </row>
    <row r="458" spans="1:9" s="3472" customFormat="1">
      <c r="A458" s="3911"/>
      <c r="B458" s="3897"/>
      <c r="C458" s="3897"/>
      <c r="D458" s="3898"/>
      <c r="E458" s="3514" t="s">
        <v>3850</v>
      </c>
      <c r="F458" s="3522">
        <v>80.86</v>
      </c>
      <c r="G458" s="3509">
        <v>13.12</v>
      </c>
      <c r="H458" s="3505" t="s">
        <v>3557</v>
      </c>
      <c r="I458" s="3552">
        <v>37</v>
      </c>
    </row>
    <row r="459" spans="1:9" s="3472" customFormat="1">
      <c r="A459" s="3911"/>
      <c r="B459" s="3897"/>
      <c r="C459" s="3897"/>
      <c r="D459" s="3898"/>
      <c r="E459" s="3514" t="s">
        <v>3851</v>
      </c>
      <c r="F459" s="3522">
        <v>40.43</v>
      </c>
      <c r="G459" s="3509">
        <v>6.55</v>
      </c>
      <c r="H459" s="3505" t="s">
        <v>3557</v>
      </c>
      <c r="I459" s="3552">
        <v>19</v>
      </c>
    </row>
    <row r="460" spans="1:9" s="3472" customFormat="1">
      <c r="A460" s="3911"/>
      <c r="B460" s="3897"/>
      <c r="C460" s="3897"/>
      <c r="D460" s="3898"/>
      <c r="E460" s="3514" t="s">
        <v>3852</v>
      </c>
      <c r="F460" s="3522">
        <v>80.86</v>
      </c>
      <c r="G460" s="3509">
        <v>13.12</v>
      </c>
      <c r="H460" s="3505" t="s">
        <v>3557</v>
      </c>
      <c r="I460" s="3552">
        <v>37</v>
      </c>
    </row>
    <row r="461" spans="1:9" s="3472" customFormat="1">
      <c r="A461" s="3911"/>
      <c r="B461" s="3897"/>
      <c r="C461" s="3897"/>
      <c r="D461" s="3898"/>
      <c r="E461" s="3514" t="s">
        <v>3853</v>
      </c>
      <c r="F461" s="3522">
        <v>80.86</v>
      </c>
      <c r="G461" s="3509">
        <v>13.12</v>
      </c>
      <c r="H461" s="3505" t="s">
        <v>3557</v>
      </c>
      <c r="I461" s="3552">
        <v>37</v>
      </c>
    </row>
    <row r="462" spans="1:9" s="3472" customFormat="1">
      <c r="A462" s="3911"/>
      <c r="B462" s="3897"/>
      <c r="C462" s="3897"/>
      <c r="D462" s="3898"/>
      <c r="E462" s="3514" t="s">
        <v>3854</v>
      </c>
      <c r="F462" s="3522">
        <v>80.86</v>
      </c>
      <c r="G462" s="3509">
        <v>13.12</v>
      </c>
      <c r="H462" s="3505" t="s">
        <v>3557</v>
      </c>
      <c r="I462" s="3552">
        <v>37</v>
      </c>
    </row>
    <row r="463" spans="1:9" s="3472" customFormat="1">
      <c r="A463" s="3911"/>
      <c r="B463" s="3897"/>
      <c r="C463" s="3897"/>
      <c r="D463" s="3898"/>
      <c r="E463" s="3514" t="s">
        <v>3855</v>
      </c>
      <c r="F463" s="3522">
        <v>80.86</v>
      </c>
      <c r="G463" s="3509">
        <v>13.12</v>
      </c>
      <c r="H463" s="3505" t="s">
        <v>3557</v>
      </c>
      <c r="I463" s="3552">
        <v>37</v>
      </c>
    </row>
    <row r="464" spans="1:9" s="3472" customFormat="1">
      <c r="A464" s="3911"/>
      <c r="B464" s="3897"/>
      <c r="C464" s="3897"/>
      <c r="D464" s="3898"/>
      <c r="E464" s="3514" t="s">
        <v>3856</v>
      </c>
      <c r="F464" s="3522">
        <v>40.43</v>
      </c>
      <c r="G464" s="3509">
        <v>6.55</v>
      </c>
      <c r="H464" s="3505" t="s">
        <v>3557</v>
      </c>
      <c r="I464" s="3552">
        <v>19</v>
      </c>
    </row>
    <row r="465" spans="1:9" s="3472" customFormat="1">
      <c r="A465" s="3911"/>
      <c r="B465" s="3897"/>
      <c r="C465" s="3897"/>
      <c r="D465" s="3898"/>
      <c r="E465" s="3514" t="s">
        <v>3857</v>
      </c>
      <c r="F465" s="3522">
        <v>40.43</v>
      </c>
      <c r="G465" s="3509">
        <v>6.55</v>
      </c>
      <c r="H465" s="3505" t="s">
        <v>3557</v>
      </c>
      <c r="I465" s="3552">
        <v>19</v>
      </c>
    </row>
    <row r="466" spans="1:9" s="3472" customFormat="1">
      <c r="A466" s="3911"/>
      <c r="B466" s="3897"/>
      <c r="C466" s="3897"/>
      <c r="D466" s="3898"/>
      <c r="E466" s="3514" t="s">
        <v>3858</v>
      </c>
      <c r="F466" s="3522">
        <v>68.27</v>
      </c>
      <c r="G466" s="3509">
        <v>11.07</v>
      </c>
      <c r="H466" s="3505" t="s">
        <v>3557</v>
      </c>
      <c r="I466" s="3552">
        <v>31</v>
      </c>
    </row>
    <row r="467" spans="1:9" s="3472" customFormat="1">
      <c r="A467" s="3911"/>
      <c r="B467" s="3897"/>
      <c r="C467" s="3897"/>
      <c r="D467" s="3898"/>
      <c r="E467" s="3514" t="s">
        <v>3859</v>
      </c>
      <c r="F467" s="3522">
        <v>40.43</v>
      </c>
      <c r="G467" s="3509">
        <v>6.55</v>
      </c>
      <c r="H467" s="3505" t="s">
        <v>3557</v>
      </c>
      <c r="I467" s="3552">
        <v>19</v>
      </c>
    </row>
    <row r="468" spans="1:9" s="3472" customFormat="1">
      <c r="A468" s="3911"/>
      <c r="B468" s="3897"/>
      <c r="C468" s="3897"/>
      <c r="D468" s="3898"/>
      <c r="E468" s="3514" t="s">
        <v>3860</v>
      </c>
      <c r="F468" s="3522">
        <v>40.43</v>
      </c>
      <c r="G468" s="3509">
        <v>6.55</v>
      </c>
      <c r="H468" s="3505" t="s">
        <v>3557</v>
      </c>
      <c r="I468" s="3552">
        <v>19</v>
      </c>
    </row>
    <row r="469" spans="1:9" s="3472" customFormat="1">
      <c r="A469" s="3911"/>
      <c r="B469" s="3897"/>
      <c r="C469" s="3897"/>
      <c r="D469" s="3898"/>
      <c r="E469" s="3514" t="s">
        <v>3861</v>
      </c>
      <c r="F469" s="3522">
        <v>40.43</v>
      </c>
      <c r="G469" s="3509">
        <v>6.55</v>
      </c>
      <c r="H469" s="3505" t="s">
        <v>3557</v>
      </c>
      <c r="I469" s="3552">
        <v>19</v>
      </c>
    </row>
    <row r="470" spans="1:9" s="3472" customFormat="1">
      <c r="A470" s="3911"/>
      <c r="B470" s="3897"/>
      <c r="C470" s="3897"/>
      <c r="D470" s="3898"/>
      <c r="E470" s="3514" t="s">
        <v>3862</v>
      </c>
      <c r="F470" s="3522">
        <v>40.43</v>
      </c>
      <c r="G470" s="3509">
        <v>6.55</v>
      </c>
      <c r="H470" s="3505" t="s">
        <v>3557</v>
      </c>
      <c r="I470" s="3552">
        <v>19</v>
      </c>
    </row>
    <row r="471" spans="1:9" s="3472" customFormat="1">
      <c r="A471" s="3911"/>
      <c r="B471" s="3897"/>
      <c r="C471" s="3897"/>
      <c r="D471" s="3898"/>
      <c r="E471" s="3514" t="s">
        <v>3863</v>
      </c>
      <c r="F471" s="3522">
        <v>40.43</v>
      </c>
      <c r="G471" s="3509">
        <v>6.55</v>
      </c>
      <c r="H471" s="3505" t="s">
        <v>3557</v>
      </c>
      <c r="I471" s="3552">
        <v>19</v>
      </c>
    </row>
    <row r="472" spans="1:9" s="3472" customFormat="1">
      <c r="A472" s="3911"/>
      <c r="B472" s="3897"/>
      <c r="C472" s="3897"/>
      <c r="D472" s="3898"/>
      <c r="E472" s="3514" t="s">
        <v>3864</v>
      </c>
      <c r="F472" s="3522">
        <v>40.43</v>
      </c>
      <c r="G472" s="3509">
        <v>6.55</v>
      </c>
      <c r="H472" s="3505" t="s">
        <v>3557</v>
      </c>
      <c r="I472" s="3552">
        <v>19</v>
      </c>
    </row>
    <row r="473" spans="1:9" s="3472" customFormat="1">
      <c r="A473" s="3911"/>
      <c r="B473" s="3897"/>
      <c r="C473" s="3897"/>
      <c r="D473" s="3898"/>
      <c r="E473" s="3514" t="s">
        <v>3865</v>
      </c>
      <c r="F473" s="3522">
        <v>80.86</v>
      </c>
      <c r="G473" s="3509">
        <v>13.12</v>
      </c>
      <c r="H473" s="3505" t="s">
        <v>3557</v>
      </c>
      <c r="I473" s="3552">
        <v>37</v>
      </c>
    </row>
    <row r="474" spans="1:9" s="3472" customFormat="1">
      <c r="A474" s="3911"/>
      <c r="B474" s="3897" t="s">
        <v>3769</v>
      </c>
      <c r="C474" s="3897" t="s">
        <v>3770</v>
      </c>
      <c r="D474" s="3898" t="s">
        <v>3771</v>
      </c>
      <c r="E474" s="3514" t="s">
        <v>3866</v>
      </c>
      <c r="F474" s="3522">
        <v>80.86</v>
      </c>
      <c r="G474" s="3509">
        <v>13.12</v>
      </c>
      <c r="H474" s="3505" t="s">
        <v>3557</v>
      </c>
      <c r="I474" s="3552">
        <v>37</v>
      </c>
    </row>
    <row r="475" spans="1:9" s="3472" customFormat="1">
      <c r="A475" s="3911"/>
      <c r="B475" s="3897"/>
      <c r="C475" s="3897"/>
      <c r="D475" s="3898"/>
      <c r="E475" s="3514" t="s">
        <v>3867</v>
      </c>
      <c r="F475" s="3522">
        <v>80.86</v>
      </c>
      <c r="G475" s="3509">
        <v>13.12</v>
      </c>
      <c r="H475" s="3505" t="s">
        <v>3557</v>
      </c>
      <c r="I475" s="3552">
        <v>37</v>
      </c>
    </row>
    <row r="476" spans="1:9" s="3472" customFormat="1">
      <c r="A476" s="3911"/>
      <c r="B476" s="3897"/>
      <c r="C476" s="3897"/>
      <c r="D476" s="3898"/>
      <c r="E476" s="3514" t="s">
        <v>3868</v>
      </c>
      <c r="F476" s="3522">
        <v>40.43</v>
      </c>
      <c r="G476" s="3509">
        <v>6.55</v>
      </c>
      <c r="H476" s="3505" t="s">
        <v>3557</v>
      </c>
      <c r="I476" s="3552">
        <v>19</v>
      </c>
    </row>
    <row r="477" spans="1:9" s="3472" customFormat="1">
      <c r="A477" s="3911"/>
      <c r="B477" s="3897"/>
      <c r="C477" s="3897"/>
      <c r="D477" s="3898"/>
      <c r="E477" s="3514" t="s">
        <v>3869</v>
      </c>
      <c r="F477" s="3522">
        <v>40.43</v>
      </c>
      <c r="G477" s="3509">
        <v>6.55</v>
      </c>
      <c r="H477" s="3505" t="s">
        <v>3557</v>
      </c>
      <c r="I477" s="3552">
        <v>19</v>
      </c>
    </row>
    <row r="478" spans="1:9" s="3472" customFormat="1">
      <c r="A478" s="3911"/>
      <c r="B478" s="3897"/>
      <c r="C478" s="3897"/>
      <c r="D478" s="3898"/>
      <c r="E478" s="3514" t="s">
        <v>3870</v>
      </c>
      <c r="F478" s="3522">
        <v>40.43</v>
      </c>
      <c r="G478" s="3509">
        <v>6.55</v>
      </c>
      <c r="H478" s="3505" t="s">
        <v>3557</v>
      </c>
      <c r="I478" s="3552">
        <v>19</v>
      </c>
    </row>
    <row r="479" spans="1:9" s="3472" customFormat="1">
      <c r="A479" s="3911"/>
      <c r="B479" s="3897"/>
      <c r="C479" s="3897"/>
      <c r="D479" s="3898"/>
      <c r="E479" s="3514" t="s">
        <v>3871</v>
      </c>
      <c r="F479" s="3522">
        <v>40.43</v>
      </c>
      <c r="G479" s="3509">
        <v>6.55</v>
      </c>
      <c r="H479" s="3505" t="s">
        <v>3557</v>
      </c>
      <c r="I479" s="3552">
        <v>19</v>
      </c>
    </row>
    <row r="480" spans="1:9" s="3472" customFormat="1">
      <c r="A480" s="3911"/>
      <c r="B480" s="3897"/>
      <c r="C480" s="3897"/>
      <c r="D480" s="3898"/>
      <c r="E480" s="3514" t="s">
        <v>3872</v>
      </c>
      <c r="F480" s="3522">
        <v>40.43</v>
      </c>
      <c r="G480" s="3509">
        <v>6.55</v>
      </c>
      <c r="H480" s="3505" t="s">
        <v>3557</v>
      </c>
      <c r="I480" s="3552">
        <v>19</v>
      </c>
    </row>
    <row r="481" spans="1:9" s="3472" customFormat="1">
      <c r="A481" s="3911"/>
      <c r="B481" s="3897"/>
      <c r="C481" s="3897"/>
      <c r="D481" s="3898"/>
      <c r="E481" s="3514" t="s">
        <v>3873</v>
      </c>
      <c r="F481" s="3522">
        <v>40.43</v>
      </c>
      <c r="G481" s="3509">
        <v>6.55</v>
      </c>
      <c r="H481" s="3505" t="s">
        <v>3557</v>
      </c>
      <c r="I481" s="3552">
        <v>19</v>
      </c>
    </row>
    <row r="482" spans="1:9" s="3472" customFormat="1">
      <c r="A482" s="3911"/>
      <c r="B482" s="3897"/>
      <c r="C482" s="3897"/>
      <c r="D482" s="3898"/>
      <c r="E482" s="3514" t="s">
        <v>3874</v>
      </c>
      <c r="F482" s="3522">
        <v>40.43</v>
      </c>
      <c r="G482" s="3509">
        <v>6.55</v>
      </c>
      <c r="H482" s="3505" t="s">
        <v>3557</v>
      </c>
      <c r="I482" s="3552">
        <v>19</v>
      </c>
    </row>
    <row r="483" spans="1:9" s="3472" customFormat="1">
      <c r="A483" s="3911"/>
      <c r="B483" s="3897"/>
      <c r="C483" s="3897"/>
      <c r="D483" s="3898"/>
      <c r="E483" s="3514" t="s">
        <v>3875</v>
      </c>
      <c r="F483" s="3522">
        <v>40.43</v>
      </c>
      <c r="G483" s="3509">
        <v>6.55</v>
      </c>
      <c r="H483" s="3505" t="s">
        <v>3557</v>
      </c>
      <c r="I483" s="3552">
        <v>19</v>
      </c>
    </row>
    <row r="484" spans="1:9" s="3472" customFormat="1">
      <c r="A484" s="3911"/>
      <c r="B484" s="3897"/>
      <c r="C484" s="3897"/>
      <c r="D484" s="3898"/>
      <c r="E484" s="3514" t="s">
        <v>3876</v>
      </c>
      <c r="F484" s="3522">
        <v>40.43</v>
      </c>
      <c r="G484" s="3509">
        <v>6.55</v>
      </c>
      <c r="H484" s="3505" t="s">
        <v>3557</v>
      </c>
      <c r="I484" s="3552">
        <v>19</v>
      </c>
    </row>
    <row r="485" spans="1:9" s="3472" customFormat="1">
      <c r="A485" s="3911"/>
      <c r="B485" s="3897"/>
      <c r="C485" s="3897"/>
      <c r="D485" s="3898"/>
      <c r="E485" s="3514" t="s">
        <v>3877</v>
      </c>
      <c r="F485" s="3522">
        <v>40.43</v>
      </c>
      <c r="G485" s="3509">
        <v>6.55</v>
      </c>
      <c r="H485" s="3505" t="s">
        <v>3557</v>
      </c>
      <c r="I485" s="3552">
        <v>19</v>
      </c>
    </row>
    <row r="486" spans="1:9" s="3472" customFormat="1">
      <c r="A486" s="3911"/>
      <c r="B486" s="3897"/>
      <c r="C486" s="3897"/>
      <c r="D486" s="3898"/>
      <c r="E486" s="3514" t="s">
        <v>3878</v>
      </c>
      <c r="F486" s="3522">
        <v>40.43</v>
      </c>
      <c r="G486" s="3509">
        <v>6.55</v>
      </c>
      <c r="H486" s="3505" t="s">
        <v>3557</v>
      </c>
      <c r="I486" s="3552">
        <v>19</v>
      </c>
    </row>
    <row r="487" spans="1:9" s="3472" customFormat="1">
      <c r="A487" s="3911"/>
      <c r="B487" s="3897"/>
      <c r="C487" s="3897"/>
      <c r="D487" s="3898"/>
      <c r="E487" s="3514" t="s">
        <v>3879</v>
      </c>
      <c r="F487" s="3522">
        <v>40.43</v>
      </c>
      <c r="G487" s="3509">
        <v>6.55</v>
      </c>
      <c r="H487" s="3505" t="s">
        <v>3557</v>
      </c>
      <c r="I487" s="3552">
        <v>19</v>
      </c>
    </row>
    <row r="488" spans="1:9" s="3472" customFormat="1">
      <c r="A488" s="3911"/>
      <c r="B488" s="3897"/>
      <c r="C488" s="3897"/>
      <c r="D488" s="3898"/>
      <c r="E488" s="3514" t="s">
        <v>3880</v>
      </c>
      <c r="F488" s="3522">
        <v>40.43</v>
      </c>
      <c r="G488" s="3509">
        <v>6.55</v>
      </c>
      <c r="H488" s="3505" t="s">
        <v>3557</v>
      </c>
      <c r="I488" s="3552">
        <v>19</v>
      </c>
    </row>
    <row r="489" spans="1:9" s="3472" customFormat="1">
      <c r="A489" s="3911"/>
      <c r="B489" s="3897"/>
      <c r="C489" s="3897"/>
      <c r="D489" s="3898"/>
      <c r="E489" s="3514" t="s">
        <v>3881</v>
      </c>
      <c r="F489" s="3522">
        <v>40.43</v>
      </c>
      <c r="G489" s="3509">
        <v>6.55</v>
      </c>
      <c r="H489" s="3505" t="s">
        <v>3557</v>
      </c>
      <c r="I489" s="3552">
        <v>19</v>
      </c>
    </row>
    <row r="490" spans="1:9" s="3472" customFormat="1">
      <c r="A490" s="3911"/>
      <c r="B490" s="3897"/>
      <c r="C490" s="3897"/>
      <c r="D490" s="3898"/>
      <c r="E490" s="3514" t="s">
        <v>3882</v>
      </c>
      <c r="F490" s="3522">
        <v>40.43</v>
      </c>
      <c r="G490" s="3509">
        <v>6.55</v>
      </c>
      <c r="H490" s="3505" t="s">
        <v>3557</v>
      </c>
      <c r="I490" s="3552">
        <v>19</v>
      </c>
    </row>
    <row r="491" spans="1:9" s="3472" customFormat="1">
      <c r="A491" s="3911"/>
      <c r="B491" s="3897"/>
      <c r="C491" s="3897"/>
      <c r="D491" s="3898"/>
      <c r="E491" s="3514" t="s">
        <v>3883</v>
      </c>
      <c r="F491" s="3522">
        <v>40.43</v>
      </c>
      <c r="G491" s="3509">
        <v>6.55</v>
      </c>
      <c r="H491" s="3505" t="s">
        <v>3557</v>
      </c>
      <c r="I491" s="3552">
        <v>19</v>
      </c>
    </row>
    <row r="492" spans="1:9" s="3472" customFormat="1">
      <c r="A492" s="3911"/>
      <c r="B492" s="3897"/>
      <c r="C492" s="3897"/>
      <c r="D492" s="3898"/>
      <c r="E492" s="3514" t="s">
        <v>3884</v>
      </c>
      <c r="F492" s="3522">
        <v>40.43</v>
      </c>
      <c r="G492" s="3509">
        <v>6.55</v>
      </c>
      <c r="H492" s="3505" t="s">
        <v>3557</v>
      </c>
      <c r="I492" s="3552">
        <v>19</v>
      </c>
    </row>
    <row r="493" spans="1:9" s="3472" customFormat="1">
      <c r="A493" s="3911"/>
      <c r="B493" s="3897"/>
      <c r="C493" s="3897"/>
      <c r="D493" s="3898"/>
      <c r="E493" s="3514" t="s">
        <v>3885</v>
      </c>
      <c r="F493" s="3522">
        <v>40.43</v>
      </c>
      <c r="G493" s="3509">
        <v>6.55</v>
      </c>
      <c r="H493" s="3505" t="s">
        <v>3557</v>
      </c>
      <c r="I493" s="3552">
        <v>19</v>
      </c>
    </row>
    <row r="494" spans="1:9" s="3472" customFormat="1">
      <c r="A494" s="3911"/>
      <c r="B494" s="3897"/>
      <c r="C494" s="3897"/>
      <c r="D494" s="3898"/>
      <c r="E494" s="3514" t="s">
        <v>3886</v>
      </c>
      <c r="F494" s="3522">
        <v>40.43</v>
      </c>
      <c r="G494" s="3509">
        <v>6.55</v>
      </c>
      <c r="H494" s="3505" t="s">
        <v>3557</v>
      </c>
      <c r="I494" s="3552">
        <v>19</v>
      </c>
    </row>
    <row r="495" spans="1:9" s="3472" customFormat="1">
      <c r="A495" s="3911"/>
      <c r="B495" s="3897"/>
      <c r="C495" s="3897"/>
      <c r="D495" s="3898"/>
      <c r="E495" s="3514" t="s">
        <v>3887</v>
      </c>
      <c r="F495" s="3522">
        <v>40.43</v>
      </c>
      <c r="G495" s="3509">
        <v>6.55</v>
      </c>
      <c r="H495" s="3505" t="s">
        <v>3557</v>
      </c>
      <c r="I495" s="3552">
        <v>19</v>
      </c>
    </row>
    <row r="496" spans="1:9" s="3472" customFormat="1">
      <c r="A496" s="3911"/>
      <c r="B496" s="3897"/>
      <c r="C496" s="3897"/>
      <c r="D496" s="3898"/>
      <c r="E496" s="3514" t="s">
        <v>3888</v>
      </c>
      <c r="F496" s="3522">
        <v>40.43</v>
      </c>
      <c r="G496" s="3509">
        <v>6.55</v>
      </c>
      <c r="H496" s="3505" t="s">
        <v>3557</v>
      </c>
      <c r="I496" s="3552">
        <v>19</v>
      </c>
    </row>
    <row r="497" spans="1:9" s="3472" customFormat="1">
      <c r="A497" s="3911"/>
      <c r="B497" s="3897"/>
      <c r="C497" s="3897"/>
      <c r="D497" s="3898"/>
      <c r="E497" s="3514" t="s">
        <v>3889</v>
      </c>
      <c r="F497" s="3522">
        <v>40.43</v>
      </c>
      <c r="G497" s="3509">
        <v>6.55</v>
      </c>
      <c r="H497" s="3505" t="s">
        <v>3557</v>
      </c>
      <c r="I497" s="3552">
        <v>19</v>
      </c>
    </row>
    <row r="498" spans="1:9" s="3472" customFormat="1">
      <c r="A498" s="3911"/>
      <c r="B498" s="3897"/>
      <c r="C498" s="3897"/>
      <c r="D498" s="3898"/>
      <c r="E498" s="3514" t="s">
        <v>3890</v>
      </c>
      <c r="F498" s="3522">
        <v>40.43</v>
      </c>
      <c r="G498" s="3509">
        <v>6.55</v>
      </c>
      <c r="H498" s="3505" t="s">
        <v>3557</v>
      </c>
      <c r="I498" s="3552">
        <v>19</v>
      </c>
    </row>
    <row r="499" spans="1:9" s="3472" customFormat="1">
      <c r="A499" s="3911"/>
      <c r="B499" s="3897"/>
      <c r="C499" s="3897"/>
      <c r="D499" s="3898"/>
      <c r="E499" s="3514" t="s">
        <v>3891</v>
      </c>
      <c r="F499" s="3522">
        <v>40.43</v>
      </c>
      <c r="G499" s="3509">
        <v>6.55</v>
      </c>
      <c r="H499" s="3505" t="s">
        <v>3557</v>
      </c>
      <c r="I499" s="3552">
        <v>19</v>
      </c>
    </row>
    <row r="500" spans="1:9" s="3472" customFormat="1">
      <c r="A500" s="3911"/>
      <c r="B500" s="3897"/>
      <c r="C500" s="3897"/>
      <c r="D500" s="3898"/>
      <c r="E500" s="3514" t="s">
        <v>3892</v>
      </c>
      <c r="F500" s="3522">
        <v>40.43</v>
      </c>
      <c r="G500" s="3509">
        <v>6.55</v>
      </c>
      <c r="H500" s="3505" t="s">
        <v>3557</v>
      </c>
      <c r="I500" s="3552">
        <v>19</v>
      </c>
    </row>
    <row r="501" spans="1:9" s="3472" customFormat="1">
      <c r="A501" s="3911"/>
      <c r="B501" s="3897"/>
      <c r="C501" s="3897"/>
      <c r="D501" s="3898"/>
      <c r="E501" s="3514" t="s">
        <v>3893</v>
      </c>
      <c r="F501" s="3522">
        <v>40.43</v>
      </c>
      <c r="G501" s="3509">
        <v>6.55</v>
      </c>
      <c r="H501" s="3505" t="s">
        <v>3557</v>
      </c>
      <c r="I501" s="3552">
        <v>19</v>
      </c>
    </row>
    <row r="502" spans="1:9" s="3472" customFormat="1">
      <c r="A502" s="3911"/>
      <c r="B502" s="3897"/>
      <c r="C502" s="3897"/>
      <c r="D502" s="3898"/>
      <c r="E502" s="3514" t="s">
        <v>3894</v>
      </c>
      <c r="F502" s="3522">
        <v>40.43</v>
      </c>
      <c r="G502" s="3509">
        <v>6.55</v>
      </c>
      <c r="H502" s="3505" t="s">
        <v>3557</v>
      </c>
      <c r="I502" s="3552">
        <v>19</v>
      </c>
    </row>
    <row r="503" spans="1:9" s="3472" customFormat="1">
      <c r="A503" s="3911"/>
      <c r="B503" s="3897"/>
      <c r="C503" s="3897"/>
      <c r="D503" s="3898"/>
      <c r="E503" s="3514" t="s">
        <v>3895</v>
      </c>
      <c r="F503" s="3522">
        <v>40.43</v>
      </c>
      <c r="G503" s="3509">
        <v>6.55</v>
      </c>
      <c r="H503" s="3505" t="s">
        <v>3557</v>
      </c>
      <c r="I503" s="3552">
        <v>19</v>
      </c>
    </row>
    <row r="504" spans="1:9" s="3472" customFormat="1">
      <c r="A504" s="3911"/>
      <c r="B504" s="3897"/>
      <c r="C504" s="3897"/>
      <c r="D504" s="3898"/>
      <c r="E504" s="3514" t="s">
        <v>3896</v>
      </c>
      <c r="F504" s="3522">
        <v>40.43</v>
      </c>
      <c r="G504" s="3509">
        <v>6.55</v>
      </c>
      <c r="H504" s="3505" t="s">
        <v>3557</v>
      </c>
      <c r="I504" s="3552">
        <v>19</v>
      </c>
    </row>
    <row r="505" spans="1:9" s="3472" customFormat="1">
      <c r="A505" s="3911"/>
      <c r="B505" s="3897"/>
      <c r="C505" s="3897"/>
      <c r="D505" s="3898"/>
      <c r="E505" s="3514" t="s">
        <v>3897</v>
      </c>
      <c r="F505" s="3522">
        <v>40.43</v>
      </c>
      <c r="G505" s="3509">
        <v>6.55</v>
      </c>
      <c r="H505" s="3505" t="s">
        <v>3557</v>
      </c>
      <c r="I505" s="3552">
        <v>19</v>
      </c>
    </row>
    <row r="506" spans="1:9" s="3472" customFormat="1">
      <c r="A506" s="3911"/>
      <c r="B506" s="3897"/>
      <c r="C506" s="3897"/>
      <c r="D506" s="3898"/>
      <c r="E506" s="3514" t="s">
        <v>3898</v>
      </c>
      <c r="F506" s="3522">
        <v>40.43</v>
      </c>
      <c r="G506" s="3509">
        <v>6.55</v>
      </c>
      <c r="H506" s="3505" t="s">
        <v>3557</v>
      </c>
      <c r="I506" s="3552">
        <v>19</v>
      </c>
    </row>
    <row r="507" spans="1:9" s="3472" customFormat="1">
      <c r="A507" s="3911"/>
      <c r="B507" s="3897"/>
      <c r="C507" s="3897"/>
      <c r="D507" s="3898"/>
      <c r="E507" s="3514" t="s">
        <v>3899</v>
      </c>
      <c r="F507" s="3522">
        <v>40.43</v>
      </c>
      <c r="G507" s="3509">
        <v>6.56</v>
      </c>
      <c r="H507" s="3505" t="s">
        <v>3557</v>
      </c>
      <c r="I507" s="3552">
        <v>19</v>
      </c>
    </row>
    <row r="508" spans="1:9" s="3472" customFormat="1">
      <c r="A508" s="3911"/>
      <c r="B508" s="3897"/>
      <c r="C508" s="3897"/>
      <c r="D508" s="3898"/>
      <c r="E508" s="3514" t="s">
        <v>3900</v>
      </c>
      <c r="F508" s="3522">
        <v>40.43</v>
      </c>
      <c r="G508" s="3509">
        <v>6.56</v>
      </c>
      <c r="H508" s="3505" t="s">
        <v>3557</v>
      </c>
      <c r="I508" s="3552">
        <v>19</v>
      </c>
    </row>
    <row r="509" spans="1:9" s="3472" customFormat="1">
      <c r="A509" s="3911"/>
      <c r="B509" s="3897"/>
      <c r="C509" s="3897"/>
      <c r="D509" s="3898"/>
      <c r="E509" s="3514" t="s">
        <v>3901</v>
      </c>
      <c r="F509" s="3522">
        <v>40.43</v>
      </c>
      <c r="G509" s="3509">
        <v>6.56</v>
      </c>
      <c r="H509" s="3505" t="s">
        <v>3557</v>
      </c>
      <c r="I509" s="3552">
        <v>19</v>
      </c>
    </row>
    <row r="510" spans="1:9" s="3472" customFormat="1">
      <c r="A510" s="3911"/>
      <c r="B510" s="3897"/>
      <c r="C510" s="3897"/>
      <c r="D510" s="3898"/>
      <c r="E510" s="3514" t="s">
        <v>3902</v>
      </c>
      <c r="F510" s="3522">
        <v>40.43</v>
      </c>
      <c r="G510" s="3509">
        <v>6.56</v>
      </c>
      <c r="H510" s="3505" t="s">
        <v>3557</v>
      </c>
      <c r="I510" s="3552">
        <v>19</v>
      </c>
    </row>
    <row r="511" spans="1:9" s="3472" customFormat="1">
      <c r="A511" s="3911"/>
      <c r="B511" s="3897" t="s">
        <v>3769</v>
      </c>
      <c r="C511" s="3897" t="s">
        <v>3770</v>
      </c>
      <c r="D511" s="3898" t="s">
        <v>3771</v>
      </c>
      <c r="E511" s="3514" t="s">
        <v>3903</v>
      </c>
      <c r="F511" s="3522">
        <v>40.43</v>
      </c>
      <c r="G511" s="3509">
        <v>6.56</v>
      </c>
      <c r="H511" s="3505" t="s">
        <v>3557</v>
      </c>
      <c r="I511" s="3552">
        <v>19</v>
      </c>
    </row>
    <row r="512" spans="1:9" s="3472" customFormat="1">
      <c r="A512" s="3911"/>
      <c r="B512" s="3897"/>
      <c r="C512" s="3897"/>
      <c r="D512" s="3898"/>
      <c r="E512" s="3514" t="s">
        <v>3904</v>
      </c>
      <c r="F512" s="3522">
        <v>80.86</v>
      </c>
      <c r="G512" s="3509">
        <v>13.12</v>
      </c>
      <c r="H512" s="3505" t="s">
        <v>3557</v>
      </c>
      <c r="I512" s="3552">
        <v>37</v>
      </c>
    </row>
    <row r="513" spans="1:9" s="3472" customFormat="1">
      <c r="A513" s="3911"/>
      <c r="B513" s="3897"/>
      <c r="C513" s="3897"/>
      <c r="D513" s="3898"/>
      <c r="E513" s="3514" t="s">
        <v>3905</v>
      </c>
      <c r="F513" s="3522">
        <v>80.86</v>
      </c>
      <c r="G513" s="3509">
        <v>13.12</v>
      </c>
      <c r="H513" s="3505" t="s">
        <v>3557</v>
      </c>
      <c r="I513" s="3552">
        <v>37</v>
      </c>
    </row>
    <row r="514" spans="1:9" s="3472" customFormat="1">
      <c r="A514" s="3911"/>
      <c r="B514" s="3897"/>
      <c r="C514" s="3897"/>
      <c r="D514" s="3898"/>
      <c r="E514" s="3514" t="s">
        <v>4297</v>
      </c>
      <c r="F514" s="3522">
        <v>40.43</v>
      </c>
      <c r="G514" s="3509">
        <v>6.56</v>
      </c>
      <c r="H514" s="3505" t="s">
        <v>3557</v>
      </c>
      <c r="I514" s="3552">
        <v>18</v>
      </c>
    </row>
    <row r="515" spans="1:9" s="3472" customFormat="1">
      <c r="A515" s="3911"/>
      <c r="B515" s="3897"/>
      <c r="C515" s="3897"/>
      <c r="D515" s="3898"/>
      <c r="E515" s="3514" t="s">
        <v>3651</v>
      </c>
      <c r="F515" s="3522">
        <v>40.43</v>
      </c>
      <c r="G515" s="3509">
        <v>6.56</v>
      </c>
      <c r="H515" s="3505" t="s">
        <v>3557</v>
      </c>
      <c r="I515" s="3552">
        <v>18</v>
      </c>
    </row>
    <row r="516" spans="1:9" s="3472" customFormat="1">
      <c r="A516" s="3911"/>
      <c r="B516" s="3897"/>
      <c r="C516" s="3897"/>
      <c r="D516" s="3898"/>
      <c r="E516" s="3514" t="s">
        <v>4298</v>
      </c>
      <c r="F516" s="3522">
        <v>40.43</v>
      </c>
      <c r="G516" s="3509">
        <v>6.56</v>
      </c>
      <c r="H516" s="3505" t="s">
        <v>3557</v>
      </c>
      <c r="I516" s="3552">
        <v>18</v>
      </c>
    </row>
    <row r="517" spans="1:9" s="3472" customFormat="1">
      <c r="A517" s="3911"/>
      <c r="B517" s="3897"/>
      <c r="C517" s="3897"/>
      <c r="D517" s="3898"/>
      <c r="E517" s="3514" t="s">
        <v>4299</v>
      </c>
      <c r="F517" s="3522">
        <v>40.43</v>
      </c>
      <c r="G517" s="3509">
        <v>6.56</v>
      </c>
      <c r="H517" s="3505" t="s">
        <v>3557</v>
      </c>
      <c r="I517" s="3552">
        <v>18</v>
      </c>
    </row>
    <row r="518" spans="1:9" s="3472" customFormat="1">
      <c r="A518" s="3911"/>
      <c r="B518" s="3897"/>
      <c r="C518" s="3897"/>
      <c r="D518" s="3898"/>
      <c r="E518" s="3514" t="s">
        <v>3652</v>
      </c>
      <c r="F518" s="3522">
        <v>40.43</v>
      </c>
      <c r="G518" s="3509">
        <v>6.56</v>
      </c>
      <c r="H518" s="3505" t="s">
        <v>3557</v>
      </c>
      <c r="I518" s="3552">
        <v>18</v>
      </c>
    </row>
    <row r="519" spans="1:9" s="3472" customFormat="1">
      <c r="A519" s="3911"/>
      <c r="B519" s="3897"/>
      <c r="C519" s="3897"/>
      <c r="D519" s="3898"/>
      <c r="E519" s="3514" t="s">
        <v>4300</v>
      </c>
      <c r="F519" s="3522">
        <v>40.43</v>
      </c>
      <c r="G519" s="3509">
        <v>6.56</v>
      </c>
      <c r="H519" s="3505" t="s">
        <v>3557</v>
      </c>
      <c r="I519" s="3552">
        <v>18</v>
      </c>
    </row>
    <row r="520" spans="1:9" s="3472" customFormat="1">
      <c r="A520" s="3911"/>
      <c r="B520" s="3897"/>
      <c r="C520" s="3897"/>
      <c r="D520" s="3898"/>
      <c r="E520" s="3514" t="s">
        <v>4301</v>
      </c>
      <c r="F520" s="3522">
        <v>40.43</v>
      </c>
      <c r="G520" s="3509">
        <v>6.56</v>
      </c>
      <c r="H520" s="3505" t="s">
        <v>3557</v>
      </c>
      <c r="I520" s="3552">
        <v>18</v>
      </c>
    </row>
    <row r="521" spans="1:9" s="3472" customFormat="1">
      <c r="A521" s="3911"/>
      <c r="B521" s="3897"/>
      <c r="C521" s="3897"/>
      <c r="D521" s="3898"/>
      <c r="E521" s="3514" t="s">
        <v>3653</v>
      </c>
      <c r="F521" s="3522">
        <v>40.43</v>
      </c>
      <c r="G521" s="3509">
        <v>6.56</v>
      </c>
      <c r="H521" s="3505" t="s">
        <v>3557</v>
      </c>
      <c r="I521" s="3552">
        <v>18</v>
      </c>
    </row>
    <row r="522" spans="1:9" s="3472" customFormat="1">
      <c r="A522" s="3911"/>
      <c r="B522" s="3897"/>
      <c r="C522" s="3897"/>
      <c r="D522" s="3898"/>
      <c r="E522" s="3514" t="s">
        <v>3654</v>
      </c>
      <c r="F522" s="3522">
        <v>40.43</v>
      </c>
      <c r="G522" s="3509">
        <v>6.56</v>
      </c>
      <c r="H522" s="3505" t="s">
        <v>3557</v>
      </c>
      <c r="I522" s="3552">
        <v>18</v>
      </c>
    </row>
    <row r="523" spans="1:9" s="3472" customFormat="1">
      <c r="A523" s="3911"/>
      <c r="B523" s="3897"/>
      <c r="C523" s="3897"/>
      <c r="D523" s="3898"/>
      <c r="E523" s="3514" t="s">
        <v>3655</v>
      </c>
      <c r="F523" s="3522">
        <v>40.43</v>
      </c>
      <c r="G523" s="3509">
        <v>6.56</v>
      </c>
      <c r="H523" s="3505" t="s">
        <v>3557</v>
      </c>
      <c r="I523" s="3552">
        <v>18</v>
      </c>
    </row>
    <row r="524" spans="1:9" s="3472" customFormat="1">
      <c r="A524" s="3911"/>
      <c r="B524" s="3897"/>
      <c r="C524" s="3897"/>
      <c r="D524" s="3898"/>
      <c r="E524" s="3514" t="s">
        <v>3656</v>
      </c>
      <c r="F524" s="3522">
        <v>40.43</v>
      </c>
      <c r="G524" s="3509">
        <v>6.56</v>
      </c>
      <c r="H524" s="3505" t="s">
        <v>3557</v>
      </c>
      <c r="I524" s="3552">
        <v>18</v>
      </c>
    </row>
    <row r="525" spans="1:9" s="3472" customFormat="1">
      <c r="A525" s="3911"/>
      <c r="B525" s="3897"/>
      <c r="C525" s="3897"/>
      <c r="D525" s="3898"/>
      <c r="E525" s="3514" t="s">
        <v>4302</v>
      </c>
      <c r="F525" s="3522">
        <v>40.43</v>
      </c>
      <c r="G525" s="3509">
        <v>6.56</v>
      </c>
      <c r="H525" s="3505" t="s">
        <v>3557</v>
      </c>
      <c r="I525" s="3552">
        <v>18</v>
      </c>
    </row>
    <row r="526" spans="1:9" s="3472" customFormat="1">
      <c r="A526" s="3911"/>
      <c r="B526" s="3897"/>
      <c r="C526" s="3897"/>
      <c r="D526" s="3898"/>
      <c r="E526" s="3514" t="s">
        <v>4303</v>
      </c>
      <c r="F526" s="3522">
        <v>40.43</v>
      </c>
      <c r="G526" s="3509">
        <v>6.56</v>
      </c>
      <c r="H526" s="3505" t="s">
        <v>3557</v>
      </c>
      <c r="I526" s="3552">
        <v>18</v>
      </c>
    </row>
    <row r="527" spans="1:9" s="3472" customFormat="1">
      <c r="A527" s="3911"/>
      <c r="B527" s="3897"/>
      <c r="C527" s="3897"/>
      <c r="D527" s="3898"/>
      <c r="E527" s="3514" t="s">
        <v>4304</v>
      </c>
      <c r="F527" s="3522">
        <v>40.43</v>
      </c>
      <c r="G527" s="3509">
        <v>6.56</v>
      </c>
      <c r="H527" s="3505" t="s">
        <v>3557</v>
      </c>
      <c r="I527" s="3552">
        <v>18</v>
      </c>
    </row>
    <row r="528" spans="1:9" s="3472" customFormat="1">
      <c r="A528" s="3911"/>
      <c r="B528" s="3897"/>
      <c r="C528" s="3897"/>
      <c r="D528" s="3898"/>
      <c r="E528" s="3514" t="s">
        <v>4345</v>
      </c>
      <c r="F528" s="3522">
        <v>80.86</v>
      </c>
      <c r="G528" s="3509">
        <v>13.12</v>
      </c>
      <c r="H528" s="3505" t="s">
        <v>3557</v>
      </c>
      <c r="I528" s="3552">
        <v>36</v>
      </c>
    </row>
    <row r="529" spans="1:9" s="3472" customFormat="1">
      <c r="A529" s="3911"/>
      <c r="B529" s="3897"/>
      <c r="C529" s="3897"/>
      <c r="D529" s="3898"/>
      <c r="E529" s="3514" t="s">
        <v>4346</v>
      </c>
      <c r="F529" s="3522">
        <v>40.43</v>
      </c>
      <c r="G529" s="3509">
        <v>6.56</v>
      </c>
      <c r="H529" s="3505" t="s">
        <v>3557</v>
      </c>
      <c r="I529" s="3552">
        <v>18</v>
      </c>
    </row>
    <row r="530" spans="1:9" s="3472" customFormat="1">
      <c r="A530" s="3911"/>
      <c r="B530" s="3897"/>
      <c r="C530" s="3897"/>
      <c r="D530" s="3898"/>
      <c r="E530" s="3514" t="s">
        <v>4347</v>
      </c>
      <c r="F530" s="3522">
        <v>40.43</v>
      </c>
      <c r="G530" s="3509">
        <v>6.56</v>
      </c>
      <c r="H530" s="3505" t="s">
        <v>3557</v>
      </c>
      <c r="I530" s="3552">
        <v>18</v>
      </c>
    </row>
    <row r="531" spans="1:9" s="3472" customFormat="1">
      <c r="A531" s="3911"/>
      <c r="B531" s="3897"/>
      <c r="C531" s="3897"/>
      <c r="D531" s="3898"/>
      <c r="E531" s="3514" t="s">
        <v>4348</v>
      </c>
      <c r="F531" s="3522">
        <v>40.43</v>
      </c>
      <c r="G531" s="3509">
        <v>6.56</v>
      </c>
      <c r="H531" s="3505" t="s">
        <v>3557</v>
      </c>
      <c r="I531" s="3552">
        <v>18</v>
      </c>
    </row>
    <row r="532" spans="1:9" s="3472" customFormat="1">
      <c r="A532" s="3911"/>
      <c r="B532" s="3897"/>
      <c r="C532" s="3897"/>
      <c r="D532" s="3898"/>
      <c r="E532" s="3514" t="s">
        <v>4307</v>
      </c>
      <c r="F532" s="3522">
        <v>40.43</v>
      </c>
      <c r="G532" s="3509">
        <v>6.56</v>
      </c>
      <c r="H532" s="3505" t="s">
        <v>3557</v>
      </c>
      <c r="I532" s="3552">
        <v>18</v>
      </c>
    </row>
    <row r="533" spans="1:9" s="3472" customFormat="1">
      <c r="A533" s="3911"/>
      <c r="B533" s="3897"/>
      <c r="C533" s="3897"/>
      <c r="D533" s="3898"/>
      <c r="E533" s="3514" t="s">
        <v>4308</v>
      </c>
      <c r="F533" s="3522">
        <v>40.43</v>
      </c>
      <c r="G533" s="3509">
        <v>6.56</v>
      </c>
      <c r="H533" s="3505" t="s">
        <v>3557</v>
      </c>
      <c r="I533" s="3552">
        <v>18</v>
      </c>
    </row>
    <row r="534" spans="1:9" s="3472" customFormat="1">
      <c r="A534" s="3911"/>
      <c r="B534" s="3897"/>
      <c r="C534" s="3897"/>
      <c r="D534" s="3898"/>
      <c r="E534" s="3514" t="s">
        <v>4309</v>
      </c>
      <c r="F534" s="3522">
        <v>40.43</v>
      </c>
      <c r="G534" s="3509">
        <v>6.56</v>
      </c>
      <c r="H534" s="3505" t="s">
        <v>3557</v>
      </c>
      <c r="I534" s="3552">
        <v>18</v>
      </c>
    </row>
    <row r="535" spans="1:9" s="3472" customFormat="1">
      <c r="A535" s="3911"/>
      <c r="B535" s="3897"/>
      <c r="C535" s="3897"/>
      <c r="D535" s="3898"/>
      <c r="E535" s="3514" t="s">
        <v>3658</v>
      </c>
      <c r="F535" s="3522">
        <v>40.43</v>
      </c>
      <c r="G535" s="3509">
        <v>6.56</v>
      </c>
      <c r="H535" s="3505" t="s">
        <v>3557</v>
      </c>
      <c r="I535" s="3552">
        <v>18</v>
      </c>
    </row>
    <row r="536" spans="1:9" s="3472" customFormat="1">
      <c r="A536" s="3911"/>
      <c r="B536" s="3897"/>
      <c r="C536" s="3897"/>
      <c r="D536" s="3898"/>
      <c r="E536" s="3514" t="s">
        <v>4310</v>
      </c>
      <c r="F536" s="3522">
        <v>40.43</v>
      </c>
      <c r="G536" s="3509">
        <v>6.56</v>
      </c>
      <c r="H536" s="3505" t="s">
        <v>3557</v>
      </c>
      <c r="I536" s="3552">
        <v>18</v>
      </c>
    </row>
    <row r="537" spans="1:9" s="3472" customFormat="1">
      <c r="A537" s="3911"/>
      <c r="B537" s="3897"/>
      <c r="C537" s="3897"/>
      <c r="D537" s="3898"/>
      <c r="E537" s="3514" t="s">
        <v>3659</v>
      </c>
      <c r="F537" s="3522">
        <v>40.43</v>
      </c>
      <c r="G537" s="3509">
        <v>6.56</v>
      </c>
      <c r="H537" s="3505" t="s">
        <v>3557</v>
      </c>
      <c r="I537" s="3552">
        <v>18</v>
      </c>
    </row>
    <row r="538" spans="1:9" s="3472" customFormat="1">
      <c r="A538" s="3911"/>
      <c r="B538" s="3897"/>
      <c r="C538" s="3897"/>
      <c r="D538" s="3898"/>
      <c r="E538" s="3514" t="s">
        <v>4311</v>
      </c>
      <c r="F538" s="3522">
        <v>40.43</v>
      </c>
      <c r="G538" s="3509">
        <v>6.56</v>
      </c>
      <c r="H538" s="3505" t="s">
        <v>3557</v>
      </c>
      <c r="I538" s="3552">
        <v>18</v>
      </c>
    </row>
    <row r="539" spans="1:9" s="3472" customFormat="1">
      <c r="A539" s="3911"/>
      <c r="B539" s="3897"/>
      <c r="C539" s="3897"/>
      <c r="D539" s="3898"/>
      <c r="E539" s="3514" t="s">
        <v>4312</v>
      </c>
      <c r="F539" s="3522">
        <v>40.43</v>
      </c>
      <c r="G539" s="3509">
        <v>6.56</v>
      </c>
      <c r="H539" s="3505" t="s">
        <v>3557</v>
      </c>
      <c r="I539" s="3552">
        <v>18</v>
      </c>
    </row>
    <row r="540" spans="1:9" s="3472" customFormat="1">
      <c r="A540" s="3911"/>
      <c r="B540" s="3897"/>
      <c r="C540" s="3897"/>
      <c r="D540" s="3898"/>
      <c r="E540" s="3514" t="s">
        <v>4313</v>
      </c>
      <c r="F540" s="3522">
        <v>40.43</v>
      </c>
      <c r="G540" s="3509">
        <v>6.56</v>
      </c>
      <c r="H540" s="3505" t="s">
        <v>3557</v>
      </c>
      <c r="I540" s="3552">
        <v>18</v>
      </c>
    </row>
    <row r="541" spans="1:9" s="3472" customFormat="1">
      <c r="A541" s="3911"/>
      <c r="B541" s="3897"/>
      <c r="C541" s="3897"/>
      <c r="D541" s="3898"/>
      <c r="E541" s="3514" t="s">
        <v>4314</v>
      </c>
      <c r="F541" s="3522">
        <v>40.43</v>
      </c>
      <c r="G541" s="3509">
        <v>6.56</v>
      </c>
      <c r="H541" s="3505" t="s">
        <v>3557</v>
      </c>
      <c r="I541" s="3552">
        <v>18</v>
      </c>
    </row>
    <row r="542" spans="1:9" s="3472" customFormat="1">
      <c r="A542" s="3911"/>
      <c r="B542" s="3897"/>
      <c r="C542" s="3897"/>
      <c r="D542" s="3898"/>
      <c r="E542" s="3514" t="s">
        <v>4315</v>
      </c>
      <c r="F542" s="3522">
        <v>40.43</v>
      </c>
      <c r="G542" s="3509">
        <v>6.56</v>
      </c>
      <c r="H542" s="3505" t="s">
        <v>3557</v>
      </c>
      <c r="I542" s="3552">
        <v>18</v>
      </c>
    </row>
    <row r="543" spans="1:9" s="3472" customFormat="1">
      <c r="A543" s="3911"/>
      <c r="B543" s="3897"/>
      <c r="C543" s="3897"/>
      <c r="D543" s="3898"/>
      <c r="E543" s="3514" t="s">
        <v>4316</v>
      </c>
      <c r="F543" s="3522">
        <v>40.43</v>
      </c>
      <c r="G543" s="3509">
        <v>6.56</v>
      </c>
      <c r="H543" s="3505" t="s">
        <v>3557</v>
      </c>
      <c r="I543" s="3552">
        <v>18</v>
      </c>
    </row>
    <row r="544" spans="1:9" s="3472" customFormat="1">
      <c r="A544" s="3911"/>
      <c r="B544" s="3897"/>
      <c r="C544" s="3897"/>
      <c r="D544" s="3898"/>
      <c r="E544" s="3514" t="s">
        <v>4317</v>
      </c>
      <c r="F544" s="3522">
        <v>40.43</v>
      </c>
      <c r="G544" s="3509">
        <v>6.56</v>
      </c>
      <c r="H544" s="3505" t="s">
        <v>3557</v>
      </c>
      <c r="I544" s="3552">
        <v>18</v>
      </c>
    </row>
    <row r="545" spans="1:9" s="3472" customFormat="1">
      <c r="A545" s="3911"/>
      <c r="B545" s="3897"/>
      <c r="C545" s="3897"/>
      <c r="D545" s="3898"/>
      <c r="E545" s="3514" t="s">
        <v>3660</v>
      </c>
      <c r="F545" s="3522">
        <v>40.43</v>
      </c>
      <c r="G545" s="3509">
        <v>6.56</v>
      </c>
      <c r="H545" s="3505" t="s">
        <v>3557</v>
      </c>
      <c r="I545" s="3552">
        <v>18</v>
      </c>
    </row>
    <row r="546" spans="1:9" s="3472" customFormat="1">
      <c r="A546" s="3911"/>
      <c r="B546" s="3897"/>
      <c r="C546" s="3897"/>
      <c r="D546" s="3898"/>
      <c r="E546" s="3514" t="s">
        <v>3661</v>
      </c>
      <c r="F546" s="3522">
        <v>40.43</v>
      </c>
      <c r="G546" s="3509">
        <v>6.56</v>
      </c>
      <c r="H546" s="3505" t="s">
        <v>3557</v>
      </c>
      <c r="I546" s="3552">
        <v>18</v>
      </c>
    </row>
    <row r="547" spans="1:9" s="3472" customFormat="1">
      <c r="A547" s="3911"/>
      <c r="B547" s="3897"/>
      <c r="C547" s="3897"/>
      <c r="D547" s="3898"/>
      <c r="E547" s="3514" t="s">
        <v>3662</v>
      </c>
      <c r="F547" s="3522">
        <v>40.43</v>
      </c>
      <c r="G547" s="3509">
        <v>6.56</v>
      </c>
      <c r="H547" s="3505" t="s">
        <v>3557</v>
      </c>
      <c r="I547" s="3552">
        <v>18</v>
      </c>
    </row>
    <row r="548" spans="1:9" s="3472" customFormat="1">
      <c r="A548" s="3911"/>
      <c r="B548" s="3897" t="s">
        <v>3769</v>
      </c>
      <c r="C548" s="3897" t="s">
        <v>3770</v>
      </c>
      <c r="D548" s="3898" t="s">
        <v>3771</v>
      </c>
      <c r="E548" s="3514" t="s">
        <v>3663</v>
      </c>
      <c r="F548" s="3522">
        <v>40.43</v>
      </c>
      <c r="G548" s="3509">
        <v>6.56</v>
      </c>
      <c r="H548" s="3505" t="s">
        <v>3557</v>
      </c>
      <c r="I548" s="3552">
        <v>18</v>
      </c>
    </row>
    <row r="549" spans="1:9" s="3472" customFormat="1">
      <c r="A549" s="3911"/>
      <c r="B549" s="3897"/>
      <c r="C549" s="3897"/>
      <c r="D549" s="3898"/>
      <c r="E549" s="3514" t="s">
        <v>3664</v>
      </c>
      <c r="F549" s="3522">
        <v>40.43</v>
      </c>
      <c r="G549" s="3509">
        <v>6.56</v>
      </c>
      <c r="H549" s="3505" t="s">
        <v>3557</v>
      </c>
      <c r="I549" s="3552">
        <v>18</v>
      </c>
    </row>
    <row r="550" spans="1:9" s="3472" customFormat="1">
      <c r="A550" s="3911"/>
      <c r="B550" s="3897"/>
      <c r="C550" s="3897"/>
      <c r="D550" s="3898"/>
      <c r="E550" s="3514" t="s">
        <v>3665</v>
      </c>
      <c r="F550" s="3522">
        <v>40.43</v>
      </c>
      <c r="G550" s="3509">
        <v>6.56</v>
      </c>
      <c r="H550" s="3505" t="s">
        <v>3557</v>
      </c>
      <c r="I550" s="3552">
        <v>18</v>
      </c>
    </row>
    <row r="551" spans="1:9" s="3472" customFormat="1">
      <c r="A551" s="3911"/>
      <c r="B551" s="3897"/>
      <c r="C551" s="3897"/>
      <c r="D551" s="3898"/>
      <c r="E551" s="3514" t="s">
        <v>3666</v>
      </c>
      <c r="F551" s="3522">
        <v>40.43</v>
      </c>
      <c r="G551" s="3509">
        <v>6.56</v>
      </c>
      <c r="H551" s="3505" t="s">
        <v>3557</v>
      </c>
      <c r="I551" s="3552">
        <v>18</v>
      </c>
    </row>
    <row r="552" spans="1:9" s="3472" customFormat="1">
      <c r="A552" s="3911"/>
      <c r="B552" s="3897"/>
      <c r="C552" s="3897"/>
      <c r="D552" s="3898"/>
      <c r="E552" s="3514" t="s">
        <v>3667</v>
      </c>
      <c r="F552" s="3522">
        <v>40.43</v>
      </c>
      <c r="G552" s="3509">
        <v>6.56</v>
      </c>
      <c r="H552" s="3505" t="s">
        <v>3557</v>
      </c>
      <c r="I552" s="3552">
        <v>18</v>
      </c>
    </row>
    <row r="553" spans="1:9" s="3472" customFormat="1">
      <c r="A553" s="3911"/>
      <c r="B553" s="3897"/>
      <c r="C553" s="3897"/>
      <c r="D553" s="3898"/>
      <c r="E553" s="3514" t="s">
        <v>4318</v>
      </c>
      <c r="F553" s="3522">
        <v>40.43</v>
      </c>
      <c r="G553" s="3509">
        <v>6.56</v>
      </c>
      <c r="H553" s="3505" t="s">
        <v>3557</v>
      </c>
      <c r="I553" s="3552">
        <v>18</v>
      </c>
    </row>
    <row r="554" spans="1:9" s="3472" customFormat="1">
      <c r="A554" s="3911"/>
      <c r="B554" s="3897"/>
      <c r="C554" s="3897"/>
      <c r="D554" s="3898"/>
      <c r="E554" s="3514" t="s">
        <v>4319</v>
      </c>
      <c r="F554" s="3522">
        <v>40.43</v>
      </c>
      <c r="G554" s="3509">
        <v>6.56</v>
      </c>
      <c r="H554" s="3505" t="s">
        <v>3557</v>
      </c>
      <c r="I554" s="3552">
        <v>18</v>
      </c>
    </row>
    <row r="555" spans="1:9" s="3472" customFormat="1">
      <c r="A555" s="3911"/>
      <c r="B555" s="3897"/>
      <c r="C555" s="3897"/>
      <c r="D555" s="3898"/>
      <c r="E555" s="3514" t="s">
        <v>4320</v>
      </c>
      <c r="F555" s="3522">
        <v>40.43</v>
      </c>
      <c r="G555" s="3509">
        <v>6.56</v>
      </c>
      <c r="H555" s="3505" t="s">
        <v>3557</v>
      </c>
      <c r="I555" s="3552">
        <v>18</v>
      </c>
    </row>
    <row r="556" spans="1:9" s="3472" customFormat="1">
      <c r="A556" s="3911"/>
      <c r="B556" s="3897"/>
      <c r="C556" s="3897"/>
      <c r="D556" s="3898"/>
      <c r="E556" s="3514" t="s">
        <v>4321</v>
      </c>
      <c r="F556" s="3522">
        <v>40.43</v>
      </c>
      <c r="G556" s="3509">
        <v>6.56</v>
      </c>
      <c r="H556" s="3505" t="s">
        <v>3557</v>
      </c>
      <c r="I556" s="3552">
        <v>18</v>
      </c>
    </row>
    <row r="557" spans="1:9" s="3472" customFormat="1">
      <c r="A557" s="3911"/>
      <c r="B557" s="3897"/>
      <c r="C557" s="3897"/>
      <c r="D557" s="3898"/>
      <c r="E557" s="3514" t="s">
        <v>4322</v>
      </c>
      <c r="F557" s="3522">
        <v>40.43</v>
      </c>
      <c r="G557" s="3509">
        <v>6.56</v>
      </c>
      <c r="H557" s="3505" t="s">
        <v>3557</v>
      </c>
      <c r="I557" s="3552">
        <v>18</v>
      </c>
    </row>
    <row r="558" spans="1:9" s="3472" customFormat="1">
      <c r="A558" s="3911"/>
      <c r="B558" s="3897"/>
      <c r="C558" s="3897"/>
      <c r="D558" s="3898"/>
      <c r="E558" s="3514" t="s">
        <v>3668</v>
      </c>
      <c r="F558" s="3522">
        <v>40.43</v>
      </c>
      <c r="G558" s="3509">
        <v>6.56</v>
      </c>
      <c r="H558" s="3505" t="s">
        <v>3557</v>
      </c>
      <c r="I558" s="3552">
        <v>18</v>
      </c>
    </row>
    <row r="559" spans="1:9" s="3472" customFormat="1">
      <c r="A559" s="3911"/>
      <c r="B559" s="3897"/>
      <c r="C559" s="3897"/>
      <c r="D559" s="3898"/>
      <c r="E559" s="3514" t="s">
        <v>4323</v>
      </c>
      <c r="F559" s="3522">
        <v>40.43</v>
      </c>
      <c r="G559" s="3509">
        <v>6.56</v>
      </c>
      <c r="H559" s="3505" t="s">
        <v>3557</v>
      </c>
      <c r="I559" s="3552">
        <v>18</v>
      </c>
    </row>
    <row r="560" spans="1:9" s="3472" customFormat="1">
      <c r="A560" s="3911"/>
      <c r="B560" s="3897"/>
      <c r="C560" s="3897"/>
      <c r="D560" s="3898"/>
      <c r="E560" s="3514" t="s">
        <v>3669</v>
      </c>
      <c r="F560" s="3522">
        <v>40.43</v>
      </c>
      <c r="G560" s="3509">
        <v>6.56</v>
      </c>
      <c r="H560" s="3505" t="s">
        <v>3557</v>
      </c>
      <c r="I560" s="3552">
        <v>18</v>
      </c>
    </row>
    <row r="561" spans="1:9" s="3472" customFormat="1">
      <c r="A561" s="3911"/>
      <c r="B561" s="3897"/>
      <c r="C561" s="3897"/>
      <c r="D561" s="3898"/>
      <c r="E561" s="3514" t="s">
        <v>3670</v>
      </c>
      <c r="F561" s="3522">
        <v>40.43</v>
      </c>
      <c r="G561" s="3509">
        <v>6.56</v>
      </c>
      <c r="H561" s="3505" t="s">
        <v>3557</v>
      </c>
      <c r="I561" s="3552">
        <v>18</v>
      </c>
    </row>
    <row r="562" spans="1:9" s="3472" customFormat="1">
      <c r="A562" s="3911"/>
      <c r="B562" s="3897"/>
      <c r="C562" s="3897"/>
      <c r="D562" s="3898"/>
      <c r="E562" s="3514" t="s">
        <v>4349</v>
      </c>
      <c r="F562" s="3522">
        <v>80.86</v>
      </c>
      <c r="G562" s="3509">
        <v>13.12</v>
      </c>
      <c r="H562" s="3505" t="s">
        <v>3557</v>
      </c>
      <c r="I562" s="3552">
        <v>36</v>
      </c>
    </row>
    <row r="563" spans="1:9" s="3472" customFormat="1">
      <c r="A563" s="3911"/>
      <c r="B563" s="3897"/>
      <c r="C563" s="3897"/>
      <c r="D563" s="3898"/>
      <c r="E563" s="3514" t="s">
        <v>4350</v>
      </c>
      <c r="F563" s="3522">
        <v>80.86</v>
      </c>
      <c r="G563" s="3509">
        <v>13.12</v>
      </c>
      <c r="H563" s="3505" t="s">
        <v>3557</v>
      </c>
      <c r="I563" s="3552">
        <v>36</v>
      </c>
    </row>
    <row r="564" spans="1:9" s="3472" customFormat="1">
      <c r="A564" s="3911"/>
      <c r="B564" s="3897"/>
      <c r="C564" s="3897"/>
      <c r="D564" s="3898"/>
      <c r="E564" s="3514" t="s">
        <v>4351</v>
      </c>
      <c r="F564" s="3522">
        <v>80.86</v>
      </c>
      <c r="G564" s="3509">
        <v>13.12</v>
      </c>
      <c r="H564" s="3505" t="s">
        <v>3557</v>
      </c>
      <c r="I564" s="3552">
        <v>36</v>
      </c>
    </row>
    <row r="565" spans="1:9" s="3472" customFormat="1">
      <c r="A565" s="3911"/>
      <c r="B565" s="3897"/>
      <c r="C565" s="3897"/>
      <c r="D565" s="3898"/>
      <c r="E565" s="3514" t="s">
        <v>3677</v>
      </c>
      <c r="F565" s="3522">
        <v>40.43</v>
      </c>
      <c r="G565" s="3509">
        <v>6.56</v>
      </c>
      <c r="H565" s="3505" t="s">
        <v>3557</v>
      </c>
      <c r="I565" s="3552">
        <v>18</v>
      </c>
    </row>
    <row r="566" spans="1:9" s="3472" customFormat="1">
      <c r="A566" s="3911"/>
      <c r="B566" s="3897"/>
      <c r="C566" s="3897"/>
      <c r="D566" s="3898"/>
      <c r="E566" s="3514" t="s">
        <v>3678</v>
      </c>
      <c r="F566" s="3522">
        <v>40.43</v>
      </c>
      <c r="G566" s="3509">
        <v>6.56</v>
      </c>
      <c r="H566" s="3505" t="s">
        <v>3557</v>
      </c>
      <c r="I566" s="3552">
        <v>18</v>
      </c>
    </row>
    <row r="567" spans="1:9" s="3472" customFormat="1">
      <c r="A567" s="3911"/>
      <c r="B567" s="3897"/>
      <c r="C567" s="3897"/>
      <c r="D567" s="3898"/>
      <c r="E567" s="3514" t="s">
        <v>3679</v>
      </c>
      <c r="F567" s="3522">
        <v>40.43</v>
      </c>
      <c r="G567" s="3509">
        <v>6.56</v>
      </c>
      <c r="H567" s="3505" t="s">
        <v>3557</v>
      </c>
      <c r="I567" s="3552">
        <v>18</v>
      </c>
    </row>
    <row r="568" spans="1:9" s="3472" customFormat="1">
      <c r="A568" s="3911"/>
      <c r="B568" s="3897"/>
      <c r="C568" s="3897"/>
      <c r="D568" s="3898"/>
      <c r="E568" s="3514" t="s">
        <v>3680</v>
      </c>
      <c r="F568" s="3522">
        <v>38.75</v>
      </c>
      <c r="G568" s="3509">
        <v>6.29</v>
      </c>
      <c r="H568" s="3505" t="s">
        <v>3557</v>
      </c>
      <c r="I568" s="3552">
        <v>17</v>
      </c>
    </row>
    <row r="569" spans="1:9" s="3472" customFormat="1">
      <c r="A569" s="3911"/>
      <c r="B569" s="3897"/>
      <c r="C569" s="3897"/>
      <c r="D569" s="3898"/>
      <c r="E569" s="3514" t="s">
        <v>3681</v>
      </c>
      <c r="F569" s="3522">
        <v>40.43</v>
      </c>
      <c r="G569" s="3509">
        <v>6.56</v>
      </c>
      <c r="H569" s="3505" t="s">
        <v>3557</v>
      </c>
      <c r="I569" s="3552">
        <v>18</v>
      </c>
    </row>
    <row r="570" spans="1:9" s="3472" customFormat="1">
      <c r="A570" s="3911"/>
      <c r="B570" s="3897"/>
      <c r="C570" s="3897"/>
      <c r="D570" s="3898"/>
      <c r="E570" s="3514" t="s">
        <v>3682</v>
      </c>
      <c r="F570" s="3522">
        <v>40.43</v>
      </c>
      <c r="G570" s="3509">
        <v>6.56</v>
      </c>
      <c r="H570" s="3505" t="s">
        <v>3557</v>
      </c>
      <c r="I570" s="3552">
        <v>18</v>
      </c>
    </row>
    <row r="571" spans="1:9" s="3472" customFormat="1">
      <c r="A571" s="3911"/>
      <c r="B571" s="3897"/>
      <c r="C571" s="3897"/>
      <c r="D571" s="3898"/>
      <c r="E571" s="3514" t="s">
        <v>4324</v>
      </c>
      <c r="F571" s="3522">
        <v>40.43</v>
      </c>
      <c r="G571" s="3509">
        <v>6.56</v>
      </c>
      <c r="H571" s="3505" t="s">
        <v>3557</v>
      </c>
      <c r="I571" s="3552">
        <v>18</v>
      </c>
    </row>
    <row r="572" spans="1:9" s="3472" customFormat="1">
      <c r="A572" s="3911"/>
      <c r="B572" s="3897"/>
      <c r="C572" s="3897"/>
      <c r="D572" s="3898"/>
      <c r="E572" s="3514" t="s">
        <v>4325</v>
      </c>
      <c r="F572" s="3522">
        <v>40.43</v>
      </c>
      <c r="G572" s="3509">
        <v>6.56</v>
      </c>
      <c r="H572" s="3505" t="s">
        <v>3557</v>
      </c>
      <c r="I572" s="3552">
        <v>18</v>
      </c>
    </row>
    <row r="573" spans="1:9" s="3472" customFormat="1">
      <c r="A573" s="3911"/>
      <c r="B573" s="3897"/>
      <c r="C573" s="3897"/>
      <c r="D573" s="3898"/>
      <c r="E573" s="3514" t="s">
        <v>4326</v>
      </c>
      <c r="F573" s="3522">
        <v>40.43</v>
      </c>
      <c r="G573" s="3509">
        <v>6.56</v>
      </c>
      <c r="H573" s="3505" t="s">
        <v>3557</v>
      </c>
      <c r="I573" s="3552">
        <v>18</v>
      </c>
    </row>
    <row r="574" spans="1:9" s="3472" customFormat="1">
      <c r="A574" s="3911"/>
      <c r="B574" s="3897"/>
      <c r="C574" s="3897"/>
      <c r="D574" s="3898"/>
      <c r="E574" s="3514" t="s">
        <v>3683</v>
      </c>
      <c r="F574" s="3522">
        <v>40.43</v>
      </c>
      <c r="G574" s="3509">
        <v>6.56</v>
      </c>
      <c r="H574" s="3505" t="s">
        <v>3557</v>
      </c>
      <c r="I574" s="3552">
        <v>18</v>
      </c>
    </row>
    <row r="575" spans="1:9" s="3472" customFormat="1">
      <c r="A575" s="3911"/>
      <c r="B575" s="3897"/>
      <c r="C575" s="3897"/>
      <c r="D575" s="3898"/>
      <c r="E575" s="3514" t="s">
        <v>3684</v>
      </c>
      <c r="F575" s="3522">
        <v>40.43</v>
      </c>
      <c r="G575" s="3509">
        <v>6.56</v>
      </c>
      <c r="H575" s="3505" t="s">
        <v>3557</v>
      </c>
      <c r="I575" s="3552">
        <v>18</v>
      </c>
    </row>
    <row r="576" spans="1:9" s="3472" customFormat="1">
      <c r="A576" s="3911"/>
      <c r="B576" s="3897"/>
      <c r="C576" s="3897"/>
      <c r="D576" s="3898"/>
      <c r="E576" s="3514" t="s">
        <v>3685</v>
      </c>
      <c r="F576" s="3522">
        <v>40.43</v>
      </c>
      <c r="G576" s="3509">
        <v>6.56</v>
      </c>
      <c r="H576" s="3505" t="s">
        <v>3557</v>
      </c>
      <c r="I576" s="3552">
        <v>18</v>
      </c>
    </row>
    <row r="577" spans="1:9" s="3472" customFormat="1">
      <c r="A577" s="3911"/>
      <c r="B577" s="3897"/>
      <c r="C577" s="3897"/>
      <c r="D577" s="3898"/>
      <c r="E577" s="3514" t="s">
        <v>4327</v>
      </c>
      <c r="F577" s="3522">
        <v>40.43</v>
      </c>
      <c r="G577" s="3509">
        <v>6.56</v>
      </c>
      <c r="H577" s="3505" t="s">
        <v>3557</v>
      </c>
      <c r="I577" s="3552">
        <v>18</v>
      </c>
    </row>
    <row r="578" spans="1:9" s="3472" customFormat="1">
      <c r="A578" s="3911"/>
      <c r="B578" s="3897"/>
      <c r="C578" s="3897"/>
      <c r="D578" s="3898"/>
      <c r="E578" s="3514" t="s">
        <v>4328</v>
      </c>
      <c r="F578" s="3522">
        <v>40.43</v>
      </c>
      <c r="G578" s="3509">
        <v>6.56</v>
      </c>
      <c r="H578" s="3505" t="s">
        <v>3557</v>
      </c>
      <c r="I578" s="3552">
        <v>18</v>
      </c>
    </row>
    <row r="579" spans="1:9" s="3472" customFormat="1">
      <c r="A579" s="3911"/>
      <c r="B579" s="3897"/>
      <c r="C579" s="3897"/>
      <c r="D579" s="3898"/>
      <c r="E579" s="3514" t="s">
        <v>3686</v>
      </c>
      <c r="F579" s="3522">
        <v>40.43</v>
      </c>
      <c r="G579" s="3509">
        <v>6.56</v>
      </c>
      <c r="H579" s="3505" t="s">
        <v>3557</v>
      </c>
      <c r="I579" s="3552">
        <v>18</v>
      </c>
    </row>
    <row r="580" spans="1:9" s="3472" customFormat="1">
      <c r="A580" s="3911"/>
      <c r="B580" s="3897"/>
      <c r="C580" s="3897"/>
      <c r="D580" s="3898"/>
      <c r="E580" s="3514" t="s">
        <v>3687</v>
      </c>
      <c r="F580" s="3522">
        <v>40.43</v>
      </c>
      <c r="G580" s="3509">
        <v>6.56</v>
      </c>
      <c r="H580" s="3505" t="s">
        <v>3557</v>
      </c>
      <c r="I580" s="3552">
        <v>18</v>
      </c>
    </row>
    <row r="581" spans="1:9" s="3472" customFormat="1">
      <c r="A581" s="3911"/>
      <c r="B581" s="3897"/>
      <c r="C581" s="3897"/>
      <c r="D581" s="3898"/>
      <c r="E581" s="3514" t="s">
        <v>4352</v>
      </c>
      <c r="F581" s="3522">
        <v>80.86</v>
      </c>
      <c r="G581" s="3509">
        <v>13.12</v>
      </c>
      <c r="H581" s="3505" t="s">
        <v>3557</v>
      </c>
      <c r="I581" s="3552">
        <v>36</v>
      </c>
    </row>
    <row r="582" spans="1:9" s="3472" customFormat="1">
      <c r="A582" s="3911"/>
      <c r="B582" s="3897"/>
      <c r="C582" s="3897"/>
      <c r="D582" s="3898"/>
      <c r="E582" s="3514" t="s">
        <v>4353</v>
      </c>
      <c r="F582" s="3522">
        <v>80.86</v>
      </c>
      <c r="G582" s="3509">
        <v>13.12</v>
      </c>
      <c r="H582" s="3505" t="s">
        <v>3557</v>
      </c>
      <c r="I582" s="3552">
        <v>36</v>
      </c>
    </row>
    <row r="583" spans="1:9" s="3472" customFormat="1">
      <c r="A583" s="3911"/>
      <c r="B583" s="3897"/>
      <c r="C583" s="3897"/>
      <c r="D583" s="3898"/>
      <c r="E583" s="3514" t="s">
        <v>4354</v>
      </c>
      <c r="F583" s="3522">
        <v>80.86</v>
      </c>
      <c r="G583" s="3509">
        <v>13.12</v>
      </c>
      <c r="H583" s="3505" t="s">
        <v>3557</v>
      </c>
      <c r="I583" s="3552">
        <v>36</v>
      </c>
    </row>
    <row r="584" spans="1:9" s="3472" customFormat="1">
      <c r="A584" s="3911"/>
      <c r="B584" s="3897"/>
      <c r="C584" s="3897"/>
      <c r="D584" s="3898"/>
      <c r="E584" s="3514" t="s">
        <v>4355</v>
      </c>
      <c r="F584" s="3522">
        <v>80.86</v>
      </c>
      <c r="G584" s="3509">
        <v>13.12</v>
      </c>
      <c r="H584" s="3505" t="s">
        <v>3557</v>
      </c>
      <c r="I584" s="3552">
        <v>36</v>
      </c>
    </row>
    <row r="585" spans="1:9" s="3472" customFormat="1">
      <c r="A585" s="3911"/>
      <c r="B585" s="3897" t="s">
        <v>3769</v>
      </c>
      <c r="C585" s="3897" t="s">
        <v>3770</v>
      </c>
      <c r="D585" s="3898" t="s">
        <v>3771</v>
      </c>
      <c r="E585" s="3514" t="s">
        <v>4356</v>
      </c>
      <c r="F585" s="3522">
        <v>80.86</v>
      </c>
      <c r="G585" s="3509">
        <v>13.12</v>
      </c>
      <c r="H585" s="3505" t="s">
        <v>3557</v>
      </c>
      <c r="I585" s="3552">
        <v>36</v>
      </c>
    </row>
    <row r="586" spans="1:9" s="3472" customFormat="1">
      <c r="A586" s="3911"/>
      <c r="B586" s="3897"/>
      <c r="C586" s="3897"/>
      <c r="D586" s="3898"/>
      <c r="E586" s="3514" t="s">
        <v>4357</v>
      </c>
      <c r="F586" s="3522">
        <v>80.86</v>
      </c>
      <c r="G586" s="3509">
        <v>13.12</v>
      </c>
      <c r="H586" s="3505" t="s">
        <v>3557</v>
      </c>
      <c r="I586" s="3552">
        <v>36</v>
      </c>
    </row>
    <row r="587" spans="1:9" s="3472" customFormat="1">
      <c r="A587" s="3911"/>
      <c r="B587" s="3897"/>
      <c r="C587" s="3897"/>
      <c r="D587" s="3898"/>
      <c r="E587" s="3514" t="s">
        <v>3693</v>
      </c>
      <c r="F587" s="3522">
        <v>40.43</v>
      </c>
      <c r="G587" s="3509">
        <v>6.56</v>
      </c>
      <c r="H587" s="3505" t="s">
        <v>3557</v>
      </c>
      <c r="I587" s="3552">
        <v>18</v>
      </c>
    </row>
    <row r="588" spans="1:9" s="3472" customFormat="1">
      <c r="A588" s="3911"/>
      <c r="B588" s="3897"/>
      <c r="C588" s="3897"/>
      <c r="D588" s="3898"/>
      <c r="E588" s="3514" t="s">
        <v>4336</v>
      </c>
      <c r="F588" s="3522">
        <v>40.43</v>
      </c>
      <c r="G588" s="3509">
        <v>6.56</v>
      </c>
      <c r="H588" s="3505" t="s">
        <v>3557</v>
      </c>
      <c r="I588" s="3552">
        <v>18</v>
      </c>
    </row>
    <row r="589" spans="1:9" s="3472" customFormat="1">
      <c r="A589" s="3911"/>
      <c r="B589" s="3897"/>
      <c r="C589" s="3897"/>
      <c r="D589" s="3898"/>
      <c r="E589" s="3514" t="s">
        <v>4337</v>
      </c>
      <c r="F589" s="3522">
        <v>40.43</v>
      </c>
      <c r="G589" s="3509">
        <v>6.56</v>
      </c>
      <c r="H589" s="3505" t="s">
        <v>3557</v>
      </c>
      <c r="I589" s="3552">
        <v>18</v>
      </c>
    </row>
    <row r="590" spans="1:9" s="3472" customFormat="1">
      <c r="A590" s="3911"/>
      <c r="B590" s="3897"/>
      <c r="C590" s="3897"/>
      <c r="D590" s="3898"/>
      <c r="E590" s="3514" t="s">
        <v>3694</v>
      </c>
      <c r="F590" s="3522">
        <v>40.43</v>
      </c>
      <c r="G590" s="3509">
        <v>6.56</v>
      </c>
      <c r="H590" s="3505" t="s">
        <v>3557</v>
      </c>
      <c r="I590" s="3552">
        <v>18</v>
      </c>
    </row>
    <row r="591" spans="1:9" s="3472" customFormat="1">
      <c r="A591" s="3911"/>
      <c r="B591" s="3897"/>
      <c r="C591" s="3897"/>
      <c r="D591" s="3898"/>
      <c r="E591" s="3514" t="s">
        <v>4338</v>
      </c>
      <c r="F591" s="3522">
        <v>80.86</v>
      </c>
      <c r="G591" s="3509">
        <v>13.12</v>
      </c>
      <c r="H591" s="3505" t="s">
        <v>3557</v>
      </c>
      <c r="I591" s="3552">
        <v>36</v>
      </c>
    </row>
    <row r="592" spans="1:9" s="3472" customFormat="1">
      <c r="A592" s="3911"/>
      <c r="B592" s="3897"/>
      <c r="C592" s="3897"/>
      <c r="D592" s="3898"/>
      <c r="E592" s="3514" t="s">
        <v>4339</v>
      </c>
      <c r="F592" s="3522">
        <v>80.86</v>
      </c>
      <c r="G592" s="3509">
        <v>13.12</v>
      </c>
      <c r="H592" s="3505" t="s">
        <v>3557</v>
      </c>
      <c r="I592" s="3552">
        <v>36</v>
      </c>
    </row>
    <row r="593" spans="1:9" s="3472" customFormat="1">
      <c r="A593" s="3911"/>
      <c r="B593" s="3897"/>
      <c r="C593" s="3897"/>
      <c r="D593" s="3898"/>
      <c r="E593" s="3514" t="s">
        <v>4358</v>
      </c>
      <c r="F593" s="3522">
        <v>40.43</v>
      </c>
      <c r="G593" s="3509">
        <v>6.56</v>
      </c>
      <c r="H593" s="3505" t="s">
        <v>3557</v>
      </c>
      <c r="I593" s="3552">
        <v>18</v>
      </c>
    </row>
    <row r="594" spans="1:9" s="3472" customFormat="1">
      <c r="A594" s="3911"/>
      <c r="B594" s="3897"/>
      <c r="C594" s="3897"/>
      <c r="D594" s="3898"/>
      <c r="E594" s="3514" t="s">
        <v>3906</v>
      </c>
      <c r="F594" s="3522">
        <v>40.43</v>
      </c>
      <c r="G594" s="3509">
        <v>6.56</v>
      </c>
      <c r="H594" s="3505" t="s">
        <v>3557</v>
      </c>
      <c r="I594" s="3552">
        <v>18</v>
      </c>
    </row>
    <row r="595" spans="1:9" s="3472" customFormat="1">
      <c r="A595" s="3911"/>
      <c r="B595" s="3897"/>
      <c r="C595" s="3897"/>
      <c r="D595" s="3898"/>
      <c r="E595" s="3514" t="s">
        <v>3695</v>
      </c>
      <c r="F595" s="3522">
        <v>40.43</v>
      </c>
      <c r="G595" s="3509">
        <v>6.56</v>
      </c>
      <c r="H595" s="3505" t="s">
        <v>3557</v>
      </c>
      <c r="I595" s="3552">
        <v>18</v>
      </c>
    </row>
    <row r="596" spans="1:9" s="3472" customFormat="1">
      <c r="A596" s="3911"/>
      <c r="B596" s="3897"/>
      <c r="C596" s="3897"/>
      <c r="D596" s="3898"/>
      <c r="E596" s="3514" t="s">
        <v>4359</v>
      </c>
      <c r="F596" s="3522">
        <v>40.43</v>
      </c>
      <c r="G596" s="3509">
        <v>6.56</v>
      </c>
      <c r="H596" s="3505" t="s">
        <v>3557</v>
      </c>
      <c r="I596" s="3552">
        <v>18</v>
      </c>
    </row>
    <row r="597" spans="1:9" s="3472" customFormat="1">
      <c r="A597" s="3911"/>
      <c r="B597" s="3897"/>
      <c r="C597" s="3897"/>
      <c r="D597" s="3898"/>
      <c r="E597" s="3514" t="s">
        <v>3907</v>
      </c>
      <c r="F597" s="3522">
        <v>40.43</v>
      </c>
      <c r="G597" s="3509">
        <v>6.56</v>
      </c>
      <c r="H597" s="3505" t="s">
        <v>3557</v>
      </c>
      <c r="I597" s="3552">
        <v>18</v>
      </c>
    </row>
    <row r="598" spans="1:9" s="3472" customFormat="1">
      <c r="A598" s="3911"/>
      <c r="B598" s="3897"/>
      <c r="C598" s="3897"/>
      <c r="D598" s="3898"/>
      <c r="E598" s="3514" t="s">
        <v>4360</v>
      </c>
      <c r="F598" s="3522">
        <v>40.43</v>
      </c>
      <c r="G598" s="3509">
        <v>6.56</v>
      </c>
      <c r="H598" s="3505" t="s">
        <v>3557</v>
      </c>
      <c r="I598" s="3552">
        <v>18</v>
      </c>
    </row>
    <row r="599" spans="1:9" s="3472" customFormat="1">
      <c r="A599" s="3911"/>
      <c r="B599" s="3897"/>
      <c r="C599" s="3897"/>
      <c r="D599" s="3898"/>
      <c r="E599" s="3514" t="s">
        <v>4361</v>
      </c>
      <c r="F599" s="3522">
        <v>40.43</v>
      </c>
      <c r="G599" s="3509">
        <v>6.56</v>
      </c>
      <c r="H599" s="3505" t="s">
        <v>3557</v>
      </c>
      <c r="I599" s="3552">
        <v>18</v>
      </c>
    </row>
    <row r="600" spans="1:9" s="3472" customFormat="1">
      <c r="A600" s="3911"/>
      <c r="B600" s="3897"/>
      <c r="C600" s="3897"/>
      <c r="D600" s="3898"/>
      <c r="E600" s="3514" t="s">
        <v>4362</v>
      </c>
      <c r="F600" s="3522">
        <v>40.43</v>
      </c>
      <c r="G600" s="3509">
        <v>6.56</v>
      </c>
      <c r="H600" s="3505" t="s">
        <v>3557</v>
      </c>
      <c r="I600" s="3552">
        <v>18</v>
      </c>
    </row>
    <row r="601" spans="1:9" s="3472" customFormat="1">
      <c r="A601" s="3911"/>
      <c r="B601" s="3897"/>
      <c r="C601" s="3897"/>
      <c r="D601" s="3898"/>
      <c r="E601" s="3514" t="s">
        <v>4363</v>
      </c>
      <c r="F601" s="3522">
        <v>40.43</v>
      </c>
      <c r="G601" s="3509">
        <v>6.56</v>
      </c>
      <c r="H601" s="3505" t="s">
        <v>3557</v>
      </c>
      <c r="I601" s="3552">
        <v>18</v>
      </c>
    </row>
    <row r="602" spans="1:9" s="3472" customFormat="1">
      <c r="A602" s="3911"/>
      <c r="B602" s="3897"/>
      <c r="C602" s="3897"/>
      <c r="D602" s="3898"/>
      <c r="E602" s="3514" t="s">
        <v>4364</v>
      </c>
      <c r="F602" s="3522">
        <v>40.43</v>
      </c>
      <c r="G602" s="3509">
        <v>6.56</v>
      </c>
      <c r="H602" s="3505" t="s">
        <v>3557</v>
      </c>
      <c r="I602" s="3552">
        <v>18</v>
      </c>
    </row>
    <row r="603" spans="1:9" s="3472" customFormat="1">
      <c r="A603" s="3911"/>
      <c r="B603" s="3897"/>
      <c r="C603" s="3897"/>
      <c r="D603" s="3898"/>
      <c r="E603" s="3514" t="s">
        <v>4365</v>
      </c>
      <c r="F603" s="3522">
        <v>40.43</v>
      </c>
      <c r="G603" s="3509">
        <v>6.56</v>
      </c>
      <c r="H603" s="3505" t="s">
        <v>3557</v>
      </c>
      <c r="I603" s="3552">
        <v>18</v>
      </c>
    </row>
    <row r="604" spans="1:9" s="3472" customFormat="1">
      <c r="A604" s="3911"/>
      <c r="B604" s="3897"/>
      <c r="C604" s="3897"/>
      <c r="D604" s="3898"/>
      <c r="E604" s="3514" t="s">
        <v>4366</v>
      </c>
      <c r="F604" s="3522">
        <v>40.43</v>
      </c>
      <c r="G604" s="3509">
        <v>6.56</v>
      </c>
      <c r="H604" s="3505" t="s">
        <v>3557</v>
      </c>
      <c r="I604" s="3552">
        <v>18</v>
      </c>
    </row>
    <row r="605" spans="1:9" s="3472" customFormat="1">
      <c r="A605" s="3911"/>
      <c r="B605" s="3897"/>
      <c r="C605" s="3897"/>
      <c r="D605" s="3898"/>
      <c r="E605" s="3514" t="s">
        <v>4367</v>
      </c>
      <c r="F605" s="3522">
        <v>80.86</v>
      </c>
      <c r="G605" s="3509">
        <v>13.12</v>
      </c>
      <c r="H605" s="3505" t="s">
        <v>3557</v>
      </c>
      <c r="I605" s="3552">
        <v>36</v>
      </c>
    </row>
    <row r="606" spans="1:9" s="3472" customFormat="1">
      <c r="A606" s="3911"/>
      <c r="B606" s="3897"/>
      <c r="C606" s="3897"/>
      <c r="D606" s="3898"/>
      <c r="E606" s="3514" t="s">
        <v>3908</v>
      </c>
      <c r="F606" s="3522">
        <v>80.86</v>
      </c>
      <c r="G606" s="3509">
        <v>13.12</v>
      </c>
      <c r="H606" s="3505" t="s">
        <v>3557</v>
      </c>
      <c r="I606" s="3552">
        <v>36</v>
      </c>
    </row>
    <row r="607" spans="1:9" s="3472" customFormat="1">
      <c r="A607" s="3911"/>
      <c r="B607" s="3897"/>
      <c r="C607" s="3897"/>
      <c r="D607" s="3898"/>
      <c r="E607" s="3514" t="s">
        <v>4368</v>
      </c>
      <c r="F607" s="3522">
        <v>80.86</v>
      </c>
      <c r="G607" s="3509">
        <v>13.12</v>
      </c>
      <c r="H607" s="3505" t="s">
        <v>3557</v>
      </c>
      <c r="I607" s="3552">
        <v>36</v>
      </c>
    </row>
    <row r="608" spans="1:9" s="3472" customFormat="1">
      <c r="A608" s="3911"/>
      <c r="B608" s="3897"/>
      <c r="C608" s="3897"/>
      <c r="D608" s="3898"/>
      <c r="E608" s="3514" t="s">
        <v>4369</v>
      </c>
      <c r="F608" s="3522">
        <v>40.43</v>
      </c>
      <c r="G608" s="3509">
        <v>6.56</v>
      </c>
      <c r="H608" s="3505" t="s">
        <v>3557</v>
      </c>
      <c r="I608" s="3552">
        <v>18</v>
      </c>
    </row>
    <row r="609" spans="1:9" s="3472" customFormat="1">
      <c r="A609" s="3911"/>
      <c r="B609" s="3897"/>
      <c r="C609" s="3897"/>
      <c r="D609" s="3898"/>
      <c r="E609" s="3514" t="s">
        <v>4370</v>
      </c>
      <c r="F609" s="3522">
        <v>80.86</v>
      </c>
      <c r="G609" s="3509">
        <v>13.12</v>
      </c>
      <c r="H609" s="3505" t="s">
        <v>3557</v>
      </c>
      <c r="I609" s="3552">
        <v>36</v>
      </c>
    </row>
    <row r="610" spans="1:9" s="3472" customFormat="1">
      <c r="A610" s="3911"/>
      <c r="B610" s="3897"/>
      <c r="C610" s="3897"/>
      <c r="D610" s="3898"/>
      <c r="E610" s="3514" t="s">
        <v>4371</v>
      </c>
      <c r="F610" s="3522">
        <v>80.86</v>
      </c>
      <c r="G610" s="3509">
        <v>13.12</v>
      </c>
      <c r="H610" s="3505" t="s">
        <v>3557</v>
      </c>
      <c r="I610" s="3552">
        <v>36</v>
      </c>
    </row>
    <row r="611" spans="1:9" s="3472" customFormat="1">
      <c r="A611" s="3911"/>
      <c r="B611" s="3897"/>
      <c r="C611" s="3897"/>
      <c r="D611" s="3898"/>
      <c r="E611" s="3514" t="s">
        <v>4372</v>
      </c>
      <c r="F611" s="3522">
        <v>80.86</v>
      </c>
      <c r="G611" s="3509">
        <v>13.12</v>
      </c>
      <c r="H611" s="3505" t="s">
        <v>3557</v>
      </c>
      <c r="I611" s="3552">
        <v>36</v>
      </c>
    </row>
    <row r="612" spans="1:9" s="3472" customFormat="1">
      <c r="A612" s="3911"/>
      <c r="B612" s="3897"/>
      <c r="C612" s="3897"/>
      <c r="D612" s="3898"/>
      <c r="E612" s="3514" t="s">
        <v>4373</v>
      </c>
      <c r="F612" s="3522">
        <v>80.86</v>
      </c>
      <c r="G612" s="3509">
        <v>13.12</v>
      </c>
      <c r="H612" s="3505" t="s">
        <v>3557</v>
      </c>
      <c r="I612" s="3552">
        <v>36</v>
      </c>
    </row>
    <row r="613" spans="1:9" s="3472" customFormat="1">
      <c r="A613" s="3911"/>
      <c r="B613" s="3897"/>
      <c r="C613" s="3897"/>
      <c r="D613" s="3898"/>
      <c r="E613" s="3514" t="s">
        <v>4374</v>
      </c>
      <c r="F613" s="3522">
        <v>80.86</v>
      </c>
      <c r="G613" s="3509">
        <v>13.12</v>
      </c>
      <c r="H613" s="3505" t="s">
        <v>3557</v>
      </c>
      <c r="I613" s="3552">
        <v>36</v>
      </c>
    </row>
    <row r="614" spans="1:9" s="3472" customFormat="1">
      <c r="A614" s="3911"/>
      <c r="B614" s="3897"/>
      <c r="C614" s="3897"/>
      <c r="D614" s="3898"/>
      <c r="E614" s="3514" t="s">
        <v>4375</v>
      </c>
      <c r="F614" s="3522">
        <v>40.43</v>
      </c>
      <c r="G614" s="3509">
        <v>6.56</v>
      </c>
      <c r="H614" s="3505" t="s">
        <v>3557</v>
      </c>
      <c r="I614" s="3552">
        <v>18</v>
      </c>
    </row>
    <row r="615" spans="1:9" s="3472" customFormat="1">
      <c r="A615" s="3911"/>
      <c r="B615" s="3897"/>
      <c r="C615" s="3897"/>
      <c r="D615" s="3898"/>
      <c r="E615" s="3514" t="s">
        <v>4376</v>
      </c>
      <c r="F615" s="3522">
        <v>40.43</v>
      </c>
      <c r="G615" s="3509">
        <v>6.56</v>
      </c>
      <c r="H615" s="3505" t="s">
        <v>3557</v>
      </c>
      <c r="I615" s="3552">
        <v>18</v>
      </c>
    </row>
    <row r="616" spans="1:9" s="3472" customFormat="1">
      <c r="A616" s="3911"/>
      <c r="B616" s="3897"/>
      <c r="C616" s="3897"/>
      <c r="D616" s="3898"/>
      <c r="E616" s="3514" t="s">
        <v>4377</v>
      </c>
      <c r="F616" s="3522">
        <v>40.43</v>
      </c>
      <c r="G616" s="3509">
        <v>6.56</v>
      </c>
      <c r="H616" s="3505" t="s">
        <v>3557</v>
      </c>
      <c r="I616" s="3552">
        <v>18</v>
      </c>
    </row>
    <row r="617" spans="1:9" s="3472" customFormat="1">
      <c r="A617" s="3911"/>
      <c r="B617" s="3897"/>
      <c r="C617" s="3897"/>
      <c r="D617" s="3898"/>
      <c r="E617" s="3514" t="s">
        <v>4378</v>
      </c>
      <c r="F617" s="3522">
        <v>40.43</v>
      </c>
      <c r="G617" s="3509">
        <v>6.56</v>
      </c>
      <c r="H617" s="3505" t="s">
        <v>3557</v>
      </c>
      <c r="I617" s="3552">
        <v>18</v>
      </c>
    </row>
    <row r="618" spans="1:9" s="3472" customFormat="1">
      <c r="A618" s="3911"/>
      <c r="B618" s="3897"/>
      <c r="C618" s="3897"/>
      <c r="D618" s="3898"/>
      <c r="E618" s="3514" t="s">
        <v>4379</v>
      </c>
      <c r="F618" s="3522">
        <v>68.27</v>
      </c>
      <c r="G618" s="3509">
        <v>11.07</v>
      </c>
      <c r="H618" s="3505" t="s">
        <v>3557</v>
      </c>
      <c r="I618" s="3552">
        <v>29</v>
      </c>
    </row>
    <row r="619" spans="1:9" s="3472" customFormat="1">
      <c r="A619" s="3911"/>
      <c r="B619" s="3897"/>
      <c r="C619" s="3897"/>
      <c r="D619" s="3898"/>
      <c r="E619" s="3514" t="s">
        <v>4380</v>
      </c>
      <c r="F619" s="3522">
        <v>40.43</v>
      </c>
      <c r="G619" s="3509">
        <v>6.56</v>
      </c>
      <c r="H619" s="3505" t="s">
        <v>3557</v>
      </c>
      <c r="I619" s="3552">
        <v>18</v>
      </c>
    </row>
    <row r="620" spans="1:9" s="3472" customFormat="1">
      <c r="A620" s="3911"/>
      <c r="B620" s="3897"/>
      <c r="C620" s="3897"/>
      <c r="D620" s="3898"/>
      <c r="E620" s="3514" t="s">
        <v>3909</v>
      </c>
      <c r="F620" s="3522">
        <v>80.86</v>
      </c>
      <c r="G620" s="3509">
        <v>13.12</v>
      </c>
      <c r="H620" s="3505" t="s">
        <v>3557</v>
      </c>
      <c r="I620" s="3552">
        <v>36</v>
      </c>
    </row>
    <row r="621" spans="1:9" s="3472" customFormat="1">
      <c r="A621" s="3911"/>
      <c r="B621" s="3897"/>
      <c r="C621" s="3897"/>
      <c r="D621" s="3898"/>
      <c r="E621" s="3514" t="s">
        <v>3910</v>
      </c>
      <c r="F621" s="3522">
        <v>80.86</v>
      </c>
      <c r="G621" s="3509">
        <v>13.12</v>
      </c>
      <c r="H621" s="3505" t="s">
        <v>3557</v>
      </c>
      <c r="I621" s="3552">
        <v>36</v>
      </c>
    </row>
    <row r="622" spans="1:9" s="3472" customFormat="1">
      <c r="A622" s="3911"/>
      <c r="B622" s="3897" t="s">
        <v>3769</v>
      </c>
      <c r="C622" s="3897" t="s">
        <v>3770</v>
      </c>
      <c r="D622" s="3898" t="s">
        <v>3771</v>
      </c>
      <c r="E622" s="3507" t="s">
        <v>3911</v>
      </c>
      <c r="F622" s="3522">
        <v>80.86</v>
      </c>
      <c r="G622" s="3509">
        <v>13.12</v>
      </c>
      <c r="H622" s="3505" t="s">
        <v>3557</v>
      </c>
      <c r="I622" s="3552">
        <v>36</v>
      </c>
    </row>
    <row r="623" spans="1:9" s="3472" customFormat="1">
      <c r="A623" s="3911"/>
      <c r="B623" s="3897"/>
      <c r="C623" s="3897"/>
      <c r="D623" s="3898"/>
      <c r="E623" s="3507" t="s">
        <v>3912</v>
      </c>
      <c r="F623" s="3522">
        <v>80.86</v>
      </c>
      <c r="G623" s="3509">
        <v>13.12</v>
      </c>
      <c r="H623" s="3505" t="s">
        <v>3557</v>
      </c>
      <c r="I623" s="3552">
        <v>36</v>
      </c>
    </row>
    <row r="624" spans="1:9" s="3472" customFormat="1">
      <c r="A624" s="3911"/>
      <c r="B624" s="3897"/>
      <c r="C624" s="3897"/>
      <c r="D624" s="3898"/>
      <c r="E624" s="3507" t="s">
        <v>3913</v>
      </c>
      <c r="F624" s="3522">
        <v>68.27</v>
      </c>
      <c r="G624" s="3509">
        <v>11.07</v>
      </c>
      <c r="H624" s="3505" t="s">
        <v>3557</v>
      </c>
      <c r="I624" s="3552">
        <v>29</v>
      </c>
    </row>
    <row r="625" spans="1:9" s="3472" customFormat="1">
      <c r="A625" s="3911"/>
      <c r="B625" s="3897"/>
      <c r="C625" s="3897"/>
      <c r="D625" s="3898"/>
      <c r="E625" s="3507" t="s">
        <v>3914</v>
      </c>
      <c r="F625" s="3522">
        <v>40.43</v>
      </c>
      <c r="G625" s="3509">
        <v>6.56</v>
      </c>
      <c r="H625" s="3505" t="s">
        <v>3557</v>
      </c>
      <c r="I625" s="3552">
        <v>18</v>
      </c>
    </row>
    <row r="626" spans="1:9" s="3472" customFormat="1">
      <c r="A626" s="3911"/>
      <c r="B626" s="3897"/>
      <c r="C626" s="3897"/>
      <c r="D626" s="3898"/>
      <c r="E626" s="3507" t="s">
        <v>3915</v>
      </c>
      <c r="F626" s="3522">
        <v>80.86</v>
      </c>
      <c r="G626" s="3509">
        <v>13.12</v>
      </c>
      <c r="H626" s="3505" t="s">
        <v>3557</v>
      </c>
      <c r="I626" s="3552">
        <v>36</v>
      </c>
    </row>
    <row r="627" spans="1:9" s="3472" customFormat="1">
      <c r="A627" s="3911"/>
      <c r="B627" s="3897"/>
      <c r="C627" s="3897"/>
      <c r="D627" s="3898"/>
      <c r="E627" s="3507" t="s">
        <v>3916</v>
      </c>
      <c r="F627" s="3522">
        <v>80.86</v>
      </c>
      <c r="G627" s="3509">
        <v>13.12</v>
      </c>
      <c r="H627" s="3505" t="s">
        <v>3557</v>
      </c>
      <c r="I627" s="3552">
        <v>36</v>
      </c>
    </row>
    <row r="628" spans="1:9" s="3472" customFormat="1">
      <c r="A628" s="3911"/>
      <c r="B628" s="3897"/>
      <c r="C628" s="3897"/>
      <c r="D628" s="3898"/>
      <c r="E628" s="3507" t="s">
        <v>3917</v>
      </c>
      <c r="F628" s="3522">
        <v>40.43</v>
      </c>
      <c r="G628" s="3509">
        <v>6.56</v>
      </c>
      <c r="H628" s="3505" t="s">
        <v>3557</v>
      </c>
      <c r="I628" s="3552">
        <v>18</v>
      </c>
    </row>
    <row r="629" spans="1:9" s="3472" customFormat="1">
      <c r="A629" s="3911"/>
      <c r="B629" s="3897"/>
      <c r="C629" s="3897"/>
      <c r="D629" s="3898"/>
      <c r="E629" s="3507" t="s">
        <v>3918</v>
      </c>
      <c r="F629" s="3522">
        <v>40.43</v>
      </c>
      <c r="G629" s="3509">
        <v>6.56</v>
      </c>
      <c r="H629" s="3505" t="s">
        <v>3557</v>
      </c>
      <c r="I629" s="3552">
        <v>18</v>
      </c>
    </row>
    <row r="630" spans="1:9" s="3472" customFormat="1">
      <c r="A630" s="3911"/>
      <c r="B630" s="3897"/>
      <c r="C630" s="3897"/>
      <c r="D630" s="3898"/>
      <c r="E630" s="3507" t="s">
        <v>3919</v>
      </c>
      <c r="F630" s="3522">
        <v>40.43</v>
      </c>
      <c r="G630" s="3509">
        <v>6.56</v>
      </c>
      <c r="H630" s="3505" t="s">
        <v>3557</v>
      </c>
      <c r="I630" s="3552">
        <v>18</v>
      </c>
    </row>
    <row r="631" spans="1:9" s="3472" customFormat="1">
      <c r="A631" s="3911"/>
      <c r="B631" s="3897"/>
      <c r="C631" s="3897"/>
      <c r="D631" s="3898"/>
      <c r="E631" s="3507" t="s">
        <v>3920</v>
      </c>
      <c r="F631" s="3522">
        <v>40.43</v>
      </c>
      <c r="G631" s="3509">
        <v>6.56</v>
      </c>
      <c r="H631" s="3505" t="s">
        <v>3557</v>
      </c>
      <c r="I631" s="3552">
        <v>18</v>
      </c>
    </row>
    <row r="632" spans="1:9" s="3472" customFormat="1">
      <c r="A632" s="3911"/>
      <c r="B632" s="3897"/>
      <c r="C632" s="3897"/>
      <c r="D632" s="3898"/>
      <c r="E632" s="3507" t="s">
        <v>3921</v>
      </c>
      <c r="F632" s="3522">
        <v>40.43</v>
      </c>
      <c r="G632" s="3509">
        <v>6.56</v>
      </c>
      <c r="H632" s="3505" t="s">
        <v>3557</v>
      </c>
      <c r="I632" s="3552">
        <v>18</v>
      </c>
    </row>
    <row r="633" spans="1:9" s="3472" customFormat="1">
      <c r="A633" s="3911"/>
      <c r="B633" s="3897"/>
      <c r="C633" s="3897"/>
      <c r="D633" s="3898"/>
      <c r="E633" s="3507" t="s">
        <v>3922</v>
      </c>
      <c r="F633" s="3522">
        <v>40.43</v>
      </c>
      <c r="G633" s="3509">
        <v>6.56</v>
      </c>
      <c r="H633" s="3505" t="s">
        <v>3557</v>
      </c>
      <c r="I633" s="3552">
        <v>18</v>
      </c>
    </row>
    <row r="634" spans="1:9" s="3472" customFormat="1">
      <c r="A634" s="3911"/>
      <c r="B634" s="3897"/>
      <c r="C634" s="3897"/>
      <c r="D634" s="3898"/>
      <c r="E634" s="3507" t="s">
        <v>3923</v>
      </c>
      <c r="F634" s="3522">
        <v>40.43</v>
      </c>
      <c r="G634" s="3509">
        <v>6.56</v>
      </c>
      <c r="H634" s="3505" t="s">
        <v>3557</v>
      </c>
      <c r="I634" s="3552">
        <v>18</v>
      </c>
    </row>
    <row r="635" spans="1:9" s="3472" customFormat="1">
      <c r="A635" s="3911"/>
      <c r="B635" s="3897"/>
      <c r="C635" s="3897"/>
      <c r="D635" s="3898"/>
      <c r="E635" s="3507" t="s">
        <v>3924</v>
      </c>
      <c r="F635" s="3522">
        <v>40.43</v>
      </c>
      <c r="G635" s="3509">
        <v>6.56</v>
      </c>
      <c r="H635" s="3505" t="s">
        <v>3557</v>
      </c>
      <c r="I635" s="3552">
        <v>18</v>
      </c>
    </row>
    <row r="636" spans="1:9" s="3472" customFormat="1">
      <c r="A636" s="3911"/>
      <c r="B636" s="3897"/>
      <c r="C636" s="3897"/>
      <c r="D636" s="3898"/>
      <c r="E636" s="3507" t="s">
        <v>3925</v>
      </c>
      <c r="F636" s="3522">
        <v>40.43</v>
      </c>
      <c r="G636" s="3509">
        <v>6.56</v>
      </c>
      <c r="H636" s="3505" t="s">
        <v>3557</v>
      </c>
      <c r="I636" s="3552">
        <v>18</v>
      </c>
    </row>
    <row r="637" spans="1:9" s="3472" customFormat="1">
      <c r="A637" s="3911"/>
      <c r="B637" s="3897"/>
      <c r="C637" s="3897"/>
      <c r="D637" s="3898"/>
      <c r="E637" s="3507" t="s">
        <v>3926</v>
      </c>
      <c r="F637" s="3522">
        <v>40.43</v>
      </c>
      <c r="G637" s="3509">
        <v>6.56</v>
      </c>
      <c r="H637" s="3505" t="s">
        <v>3557</v>
      </c>
      <c r="I637" s="3552">
        <v>18</v>
      </c>
    </row>
    <row r="638" spans="1:9" s="3472" customFormat="1">
      <c r="A638" s="3911"/>
      <c r="B638" s="3897"/>
      <c r="C638" s="3897"/>
      <c r="D638" s="3898"/>
      <c r="E638" s="3507" t="s">
        <v>3927</v>
      </c>
      <c r="F638" s="3522">
        <v>40.43</v>
      </c>
      <c r="G638" s="3509">
        <v>6.56</v>
      </c>
      <c r="H638" s="3505" t="s">
        <v>3557</v>
      </c>
      <c r="I638" s="3552">
        <v>18</v>
      </c>
    </row>
    <row r="639" spans="1:9" s="3472" customFormat="1">
      <c r="A639" s="3911"/>
      <c r="B639" s="3897"/>
      <c r="C639" s="3897"/>
      <c r="D639" s="3898"/>
      <c r="E639" s="3507" t="s">
        <v>3928</v>
      </c>
      <c r="F639" s="3522">
        <v>40.43</v>
      </c>
      <c r="G639" s="3509">
        <v>6.56</v>
      </c>
      <c r="H639" s="3505" t="s">
        <v>3557</v>
      </c>
      <c r="I639" s="3552">
        <v>18</v>
      </c>
    </row>
    <row r="640" spans="1:9" s="3472" customFormat="1">
      <c r="A640" s="3911"/>
      <c r="B640" s="3897"/>
      <c r="C640" s="3897"/>
      <c r="D640" s="3898"/>
      <c r="E640" s="3507" t="s">
        <v>3929</v>
      </c>
      <c r="F640" s="3522">
        <v>40.43</v>
      </c>
      <c r="G640" s="3509">
        <v>6.56</v>
      </c>
      <c r="H640" s="3505" t="s">
        <v>3557</v>
      </c>
      <c r="I640" s="3552">
        <v>18</v>
      </c>
    </row>
    <row r="641" spans="1:9" s="3472" customFormat="1">
      <c r="A641" s="3911"/>
      <c r="B641" s="3897"/>
      <c r="C641" s="3897"/>
      <c r="D641" s="3898"/>
      <c r="E641" s="3507" t="s">
        <v>3930</v>
      </c>
      <c r="F641" s="3522">
        <v>40.43</v>
      </c>
      <c r="G641" s="3509">
        <v>6.56</v>
      </c>
      <c r="H641" s="3505" t="s">
        <v>3557</v>
      </c>
      <c r="I641" s="3552">
        <v>18</v>
      </c>
    </row>
    <row r="642" spans="1:9" s="3472" customFormat="1">
      <c r="A642" s="3911"/>
      <c r="B642" s="3897"/>
      <c r="C642" s="3897"/>
      <c r="D642" s="3898"/>
      <c r="E642" s="3507" t="s">
        <v>3931</v>
      </c>
      <c r="F642" s="3522">
        <v>40.43</v>
      </c>
      <c r="G642" s="3509">
        <v>6.56</v>
      </c>
      <c r="H642" s="3505" t="s">
        <v>3557</v>
      </c>
      <c r="I642" s="3552">
        <v>18</v>
      </c>
    </row>
    <row r="643" spans="1:9" s="3472" customFormat="1">
      <c r="A643" s="3911"/>
      <c r="B643" s="3897"/>
      <c r="C643" s="3897"/>
      <c r="D643" s="3898"/>
      <c r="E643" s="3507" t="s">
        <v>3932</v>
      </c>
      <c r="F643" s="3522">
        <v>40.43</v>
      </c>
      <c r="G643" s="3509">
        <v>6.56</v>
      </c>
      <c r="H643" s="3505" t="s">
        <v>3557</v>
      </c>
      <c r="I643" s="3552">
        <v>18</v>
      </c>
    </row>
    <row r="644" spans="1:9" s="3472" customFormat="1">
      <c r="A644" s="3911"/>
      <c r="B644" s="3897"/>
      <c r="C644" s="3897"/>
      <c r="D644" s="3898"/>
      <c r="E644" s="3507" t="s">
        <v>3933</v>
      </c>
      <c r="F644" s="3522">
        <v>40.43</v>
      </c>
      <c r="G644" s="3509">
        <v>6.56</v>
      </c>
      <c r="H644" s="3505" t="s">
        <v>3557</v>
      </c>
      <c r="I644" s="3552">
        <v>18</v>
      </c>
    </row>
    <row r="645" spans="1:9" s="3472" customFormat="1">
      <c r="A645" s="3911"/>
      <c r="B645" s="3897"/>
      <c r="C645" s="3897"/>
      <c r="D645" s="3898"/>
      <c r="E645" s="3507" t="s">
        <v>3934</v>
      </c>
      <c r="F645" s="3522">
        <v>40.43</v>
      </c>
      <c r="G645" s="3509">
        <v>6.56</v>
      </c>
      <c r="H645" s="3505" t="s">
        <v>3557</v>
      </c>
      <c r="I645" s="3552">
        <v>18</v>
      </c>
    </row>
    <row r="646" spans="1:9" s="3472" customFormat="1">
      <c r="A646" s="3911"/>
      <c r="B646" s="3897"/>
      <c r="C646" s="3897"/>
      <c r="D646" s="3898"/>
      <c r="E646" s="3507" t="s">
        <v>3935</v>
      </c>
      <c r="F646" s="3522">
        <v>40.43</v>
      </c>
      <c r="G646" s="3509">
        <v>6.56</v>
      </c>
      <c r="H646" s="3505" t="s">
        <v>3557</v>
      </c>
      <c r="I646" s="3552">
        <v>18</v>
      </c>
    </row>
    <row r="647" spans="1:9" s="3472" customFormat="1">
      <c r="A647" s="3911"/>
      <c r="B647" s="3897"/>
      <c r="C647" s="3897"/>
      <c r="D647" s="3898"/>
      <c r="E647" s="3507" t="s">
        <v>3936</v>
      </c>
      <c r="F647" s="3522">
        <v>40.43</v>
      </c>
      <c r="G647" s="3509">
        <v>6.56</v>
      </c>
      <c r="H647" s="3505" t="s">
        <v>3557</v>
      </c>
      <c r="I647" s="3552">
        <v>18</v>
      </c>
    </row>
    <row r="648" spans="1:9" s="3472" customFormat="1">
      <c r="A648" s="3911"/>
      <c r="B648" s="3897"/>
      <c r="C648" s="3897"/>
      <c r="D648" s="3898"/>
      <c r="E648" s="3507" t="s">
        <v>3937</v>
      </c>
      <c r="F648" s="3522">
        <v>40.43</v>
      </c>
      <c r="G648" s="3509">
        <v>6.56</v>
      </c>
      <c r="H648" s="3505" t="s">
        <v>3557</v>
      </c>
      <c r="I648" s="3552">
        <v>18</v>
      </c>
    </row>
    <row r="649" spans="1:9" s="3472" customFormat="1">
      <c r="A649" s="3911"/>
      <c r="B649" s="3897"/>
      <c r="C649" s="3897"/>
      <c r="D649" s="3898"/>
      <c r="E649" s="3507" t="s">
        <v>3938</v>
      </c>
      <c r="F649" s="3522">
        <v>40.43</v>
      </c>
      <c r="G649" s="3509">
        <v>6.56</v>
      </c>
      <c r="H649" s="3505" t="s">
        <v>3557</v>
      </c>
      <c r="I649" s="3552">
        <v>18</v>
      </c>
    </row>
    <row r="650" spans="1:9" s="3472" customFormat="1">
      <c r="A650" s="3911"/>
      <c r="B650" s="3897"/>
      <c r="C650" s="3897"/>
      <c r="D650" s="3898"/>
      <c r="E650" s="3507" t="s">
        <v>3939</v>
      </c>
      <c r="F650" s="3522">
        <v>40.43</v>
      </c>
      <c r="G650" s="3509">
        <v>6.56</v>
      </c>
      <c r="H650" s="3505" t="s">
        <v>3557</v>
      </c>
      <c r="I650" s="3552">
        <v>18</v>
      </c>
    </row>
    <row r="651" spans="1:9" s="3472" customFormat="1">
      <c r="A651" s="3911"/>
      <c r="B651" s="3897"/>
      <c r="C651" s="3897"/>
      <c r="D651" s="3898"/>
      <c r="E651" s="3507" t="s">
        <v>3940</v>
      </c>
      <c r="F651" s="3522">
        <v>40.43</v>
      </c>
      <c r="G651" s="3509">
        <v>6.56</v>
      </c>
      <c r="H651" s="3505" t="s">
        <v>3557</v>
      </c>
      <c r="I651" s="3552">
        <v>18</v>
      </c>
    </row>
    <row r="652" spans="1:9" s="3472" customFormat="1">
      <c r="A652" s="3911"/>
      <c r="B652" s="3897"/>
      <c r="C652" s="3897"/>
      <c r="D652" s="3898"/>
      <c r="E652" s="3507" t="s">
        <v>3941</v>
      </c>
      <c r="F652" s="3522">
        <v>40.43</v>
      </c>
      <c r="G652" s="3509">
        <v>6.56</v>
      </c>
      <c r="H652" s="3505" t="s">
        <v>3557</v>
      </c>
      <c r="I652" s="3552">
        <v>18</v>
      </c>
    </row>
    <row r="653" spans="1:9" s="3472" customFormat="1">
      <c r="A653" s="3911"/>
      <c r="B653" s="3897"/>
      <c r="C653" s="3897"/>
      <c r="D653" s="3898"/>
      <c r="E653" s="3507" t="s">
        <v>3942</v>
      </c>
      <c r="F653" s="3522">
        <v>40.43</v>
      </c>
      <c r="G653" s="3509">
        <v>6.56</v>
      </c>
      <c r="H653" s="3505" t="s">
        <v>3557</v>
      </c>
      <c r="I653" s="3552">
        <v>18</v>
      </c>
    </row>
    <row r="654" spans="1:9" s="3472" customFormat="1">
      <c r="A654" s="3911"/>
      <c r="B654" s="3897"/>
      <c r="C654" s="3897"/>
      <c r="D654" s="3898"/>
      <c r="E654" s="3507" t="s">
        <v>3943</v>
      </c>
      <c r="F654" s="3522">
        <v>40.43</v>
      </c>
      <c r="G654" s="3509">
        <v>6.56</v>
      </c>
      <c r="H654" s="3505" t="s">
        <v>3557</v>
      </c>
      <c r="I654" s="3552">
        <v>18</v>
      </c>
    </row>
    <row r="655" spans="1:9" s="3472" customFormat="1">
      <c r="A655" s="3911"/>
      <c r="B655" s="3897"/>
      <c r="C655" s="3897"/>
      <c r="D655" s="3898"/>
      <c r="E655" s="3507" t="s">
        <v>3944</v>
      </c>
      <c r="F655" s="3522">
        <v>40.43</v>
      </c>
      <c r="G655" s="3509">
        <v>6.56</v>
      </c>
      <c r="H655" s="3505" t="s">
        <v>3557</v>
      </c>
      <c r="I655" s="3552">
        <v>18</v>
      </c>
    </row>
    <row r="656" spans="1:9" s="3472" customFormat="1">
      <c r="A656" s="3911"/>
      <c r="B656" s="3897"/>
      <c r="C656" s="3897"/>
      <c r="D656" s="3898"/>
      <c r="E656" s="3507" t="s">
        <v>3945</v>
      </c>
      <c r="F656" s="3522">
        <v>40.43</v>
      </c>
      <c r="G656" s="3509">
        <v>6.56</v>
      </c>
      <c r="H656" s="3505" t="s">
        <v>3557</v>
      </c>
      <c r="I656" s="3552">
        <v>18</v>
      </c>
    </row>
    <row r="657" spans="1:9" s="3472" customFormat="1">
      <c r="A657" s="3911"/>
      <c r="B657" s="3897"/>
      <c r="C657" s="3897"/>
      <c r="D657" s="3898"/>
      <c r="E657" s="3507" t="s">
        <v>3946</v>
      </c>
      <c r="F657" s="3522">
        <v>40.43</v>
      </c>
      <c r="G657" s="3509">
        <v>6.56</v>
      </c>
      <c r="H657" s="3505" t="s">
        <v>3557</v>
      </c>
      <c r="I657" s="3552">
        <v>18</v>
      </c>
    </row>
    <row r="658" spans="1:9" s="3472" customFormat="1">
      <c r="A658" s="3911"/>
      <c r="B658" s="3897"/>
      <c r="C658" s="3897"/>
      <c r="D658" s="3898"/>
      <c r="E658" s="3507" t="s">
        <v>3947</v>
      </c>
      <c r="F658" s="3522">
        <v>40.43</v>
      </c>
      <c r="G658" s="3509">
        <v>6.56</v>
      </c>
      <c r="H658" s="3505" t="s">
        <v>3557</v>
      </c>
      <c r="I658" s="3552">
        <v>18</v>
      </c>
    </row>
    <row r="659" spans="1:9" s="3472" customFormat="1">
      <c r="A659" s="3911"/>
      <c r="B659" s="3897" t="s">
        <v>3769</v>
      </c>
      <c r="C659" s="3897" t="s">
        <v>3770</v>
      </c>
      <c r="D659" s="3898" t="s">
        <v>3771</v>
      </c>
      <c r="E659" s="3507" t="s">
        <v>3948</v>
      </c>
      <c r="F659" s="3522">
        <v>40.43</v>
      </c>
      <c r="G659" s="3509">
        <v>6.56</v>
      </c>
      <c r="H659" s="3505" t="s">
        <v>3557</v>
      </c>
      <c r="I659" s="3552">
        <v>18</v>
      </c>
    </row>
    <row r="660" spans="1:9" s="3472" customFormat="1">
      <c r="A660" s="3911"/>
      <c r="B660" s="3897"/>
      <c r="C660" s="3897"/>
      <c r="D660" s="3898"/>
      <c r="E660" s="3507" t="s">
        <v>3949</v>
      </c>
      <c r="F660" s="3522">
        <v>40.43</v>
      </c>
      <c r="G660" s="3509">
        <v>6.56</v>
      </c>
      <c r="H660" s="3505" t="s">
        <v>3557</v>
      </c>
      <c r="I660" s="3552">
        <v>18</v>
      </c>
    </row>
    <row r="661" spans="1:9" s="3472" customFormat="1">
      <c r="A661" s="3911"/>
      <c r="B661" s="3897"/>
      <c r="C661" s="3897"/>
      <c r="D661" s="3898"/>
      <c r="E661" s="3507" t="s">
        <v>3950</v>
      </c>
      <c r="F661" s="3522">
        <v>40.43</v>
      </c>
      <c r="G661" s="3509">
        <v>6.56</v>
      </c>
      <c r="H661" s="3505" t="s">
        <v>3557</v>
      </c>
      <c r="I661" s="3552">
        <v>18</v>
      </c>
    </row>
    <row r="662" spans="1:9" s="3472" customFormat="1">
      <c r="A662" s="3911"/>
      <c r="B662" s="3897"/>
      <c r="C662" s="3897"/>
      <c r="D662" s="3898"/>
      <c r="E662" s="3507" t="s">
        <v>3951</v>
      </c>
      <c r="F662" s="3522">
        <v>40.43</v>
      </c>
      <c r="G662" s="3509">
        <v>6.56</v>
      </c>
      <c r="H662" s="3505" t="s">
        <v>3557</v>
      </c>
      <c r="I662" s="3552">
        <v>18</v>
      </c>
    </row>
    <row r="663" spans="1:9" s="3472" customFormat="1">
      <c r="A663" s="3911"/>
      <c r="B663" s="3897"/>
      <c r="C663" s="3897"/>
      <c r="D663" s="3898"/>
      <c r="E663" s="3507" t="s">
        <v>3952</v>
      </c>
      <c r="F663" s="3522">
        <v>40.43</v>
      </c>
      <c r="G663" s="3509">
        <v>6.56</v>
      </c>
      <c r="H663" s="3505" t="s">
        <v>3557</v>
      </c>
      <c r="I663" s="3552">
        <v>18</v>
      </c>
    </row>
    <row r="664" spans="1:9" s="3472" customFormat="1">
      <c r="A664" s="3911"/>
      <c r="B664" s="3897"/>
      <c r="C664" s="3897"/>
      <c r="D664" s="3898"/>
      <c r="E664" s="3507" t="s">
        <v>3953</v>
      </c>
      <c r="F664" s="3522">
        <v>40.43</v>
      </c>
      <c r="G664" s="3509">
        <v>6.56</v>
      </c>
      <c r="H664" s="3505" t="s">
        <v>3557</v>
      </c>
      <c r="I664" s="3552">
        <v>18</v>
      </c>
    </row>
    <row r="665" spans="1:9" s="3472" customFormat="1">
      <c r="A665" s="3911"/>
      <c r="B665" s="3897"/>
      <c r="C665" s="3897"/>
      <c r="D665" s="3898"/>
      <c r="E665" s="3507" t="s">
        <v>3954</v>
      </c>
      <c r="F665" s="3522">
        <v>40.43</v>
      </c>
      <c r="G665" s="3509">
        <v>6.56</v>
      </c>
      <c r="H665" s="3505" t="s">
        <v>3557</v>
      </c>
      <c r="I665" s="3552">
        <v>18</v>
      </c>
    </row>
    <row r="666" spans="1:9" s="3472" customFormat="1">
      <c r="A666" s="3911"/>
      <c r="B666" s="3897"/>
      <c r="C666" s="3897"/>
      <c r="D666" s="3898"/>
      <c r="E666" s="3507" t="s">
        <v>3955</v>
      </c>
      <c r="F666" s="3522">
        <v>40.43</v>
      </c>
      <c r="G666" s="3509">
        <v>6.56</v>
      </c>
      <c r="H666" s="3505" t="s">
        <v>3557</v>
      </c>
      <c r="I666" s="3552">
        <v>18</v>
      </c>
    </row>
    <row r="667" spans="1:9" s="3472" customFormat="1">
      <c r="A667" s="3911"/>
      <c r="B667" s="3897"/>
      <c r="C667" s="3897"/>
      <c r="D667" s="3898"/>
      <c r="E667" s="3507" t="s">
        <v>3956</v>
      </c>
      <c r="F667" s="3522">
        <v>40.43</v>
      </c>
      <c r="G667" s="3509">
        <v>6.56</v>
      </c>
      <c r="H667" s="3505" t="s">
        <v>3557</v>
      </c>
      <c r="I667" s="3552">
        <v>18</v>
      </c>
    </row>
    <row r="668" spans="1:9" s="3472" customFormat="1">
      <c r="A668" s="3911"/>
      <c r="B668" s="3897"/>
      <c r="C668" s="3897"/>
      <c r="D668" s="3898"/>
      <c r="E668" s="3507" t="s">
        <v>3957</v>
      </c>
      <c r="F668" s="3522">
        <v>40.43</v>
      </c>
      <c r="G668" s="3509">
        <v>6.56</v>
      </c>
      <c r="H668" s="3505" t="s">
        <v>3557</v>
      </c>
      <c r="I668" s="3552">
        <v>18</v>
      </c>
    </row>
    <row r="669" spans="1:9" s="3472" customFormat="1">
      <c r="A669" s="3911"/>
      <c r="B669" s="3897"/>
      <c r="C669" s="3897"/>
      <c r="D669" s="3898"/>
      <c r="E669" s="3507" t="s">
        <v>3958</v>
      </c>
      <c r="F669" s="3522">
        <v>40.43</v>
      </c>
      <c r="G669" s="3509">
        <v>6.56</v>
      </c>
      <c r="H669" s="3505" t="s">
        <v>3557</v>
      </c>
      <c r="I669" s="3552">
        <v>18</v>
      </c>
    </row>
    <row r="670" spans="1:9" s="3472" customFormat="1">
      <c r="A670" s="3911"/>
      <c r="B670" s="3897"/>
      <c r="C670" s="3897"/>
      <c r="D670" s="3898"/>
      <c r="E670" s="3507" t="s">
        <v>3959</v>
      </c>
      <c r="F670" s="3522">
        <v>40.43</v>
      </c>
      <c r="G670" s="3509">
        <v>6.56</v>
      </c>
      <c r="H670" s="3505" t="s">
        <v>3557</v>
      </c>
      <c r="I670" s="3552">
        <v>18</v>
      </c>
    </row>
    <row r="671" spans="1:9" s="3472" customFormat="1">
      <c r="A671" s="3911"/>
      <c r="B671" s="3897"/>
      <c r="C671" s="3897"/>
      <c r="D671" s="3898"/>
      <c r="E671" s="3507" t="s">
        <v>3960</v>
      </c>
      <c r="F671" s="3522">
        <v>40.43</v>
      </c>
      <c r="G671" s="3509">
        <v>6.56</v>
      </c>
      <c r="H671" s="3505" t="s">
        <v>3557</v>
      </c>
      <c r="I671" s="3552">
        <v>18</v>
      </c>
    </row>
    <row r="672" spans="1:9" s="3472" customFormat="1">
      <c r="A672" s="3911"/>
      <c r="B672" s="3897"/>
      <c r="C672" s="3897"/>
      <c r="D672" s="3898"/>
      <c r="E672" s="3507" t="s">
        <v>3961</v>
      </c>
      <c r="F672" s="3522">
        <v>40.43</v>
      </c>
      <c r="G672" s="3509">
        <v>6.56</v>
      </c>
      <c r="H672" s="3505" t="s">
        <v>3557</v>
      </c>
      <c r="I672" s="3552">
        <v>18</v>
      </c>
    </row>
    <row r="673" spans="1:9" s="3472" customFormat="1">
      <c r="A673" s="3911"/>
      <c r="B673" s="3897"/>
      <c r="C673" s="3897"/>
      <c r="D673" s="3898"/>
      <c r="E673" s="3507" t="s">
        <v>3962</v>
      </c>
      <c r="F673" s="3522">
        <v>40.43</v>
      </c>
      <c r="G673" s="3509">
        <v>6.56</v>
      </c>
      <c r="H673" s="3505" t="s">
        <v>3557</v>
      </c>
      <c r="I673" s="3552">
        <v>18</v>
      </c>
    </row>
    <row r="674" spans="1:9" s="3472" customFormat="1">
      <c r="A674" s="3911"/>
      <c r="B674" s="3897"/>
      <c r="C674" s="3897"/>
      <c r="D674" s="3898"/>
      <c r="E674" s="3507" t="s">
        <v>3963</v>
      </c>
      <c r="F674" s="3522">
        <v>40.43</v>
      </c>
      <c r="G674" s="3509">
        <v>6.56</v>
      </c>
      <c r="H674" s="3505" t="s">
        <v>3557</v>
      </c>
      <c r="I674" s="3552">
        <v>18</v>
      </c>
    </row>
    <row r="675" spans="1:9" s="3472" customFormat="1">
      <c r="A675" s="3911"/>
      <c r="B675" s="3897"/>
      <c r="C675" s="3897"/>
      <c r="D675" s="3898"/>
      <c r="E675" s="3507" t="s">
        <v>3964</v>
      </c>
      <c r="F675" s="3522">
        <v>40.43</v>
      </c>
      <c r="G675" s="3509">
        <v>6.56</v>
      </c>
      <c r="H675" s="3505" t="s">
        <v>3557</v>
      </c>
      <c r="I675" s="3552">
        <v>18</v>
      </c>
    </row>
    <row r="676" spans="1:9" s="3472" customFormat="1">
      <c r="A676" s="3911"/>
      <c r="B676" s="3897"/>
      <c r="C676" s="3897"/>
      <c r="D676" s="3898"/>
      <c r="E676" s="3507" t="s">
        <v>3965</v>
      </c>
      <c r="F676" s="3522">
        <v>40.43</v>
      </c>
      <c r="G676" s="3509">
        <v>6.56</v>
      </c>
      <c r="H676" s="3505" t="s">
        <v>3557</v>
      </c>
      <c r="I676" s="3552">
        <v>18</v>
      </c>
    </row>
    <row r="677" spans="1:9" s="3472" customFormat="1">
      <c r="A677" s="3911"/>
      <c r="B677" s="3897"/>
      <c r="C677" s="3897"/>
      <c r="D677" s="3898"/>
      <c r="E677" s="3507" t="s">
        <v>3966</v>
      </c>
      <c r="F677" s="3522">
        <v>40.43</v>
      </c>
      <c r="G677" s="3509">
        <v>6.56</v>
      </c>
      <c r="H677" s="3505" t="s">
        <v>3557</v>
      </c>
      <c r="I677" s="3552">
        <v>18</v>
      </c>
    </row>
    <row r="678" spans="1:9" s="3472" customFormat="1">
      <c r="A678" s="3911"/>
      <c r="B678" s="3897"/>
      <c r="C678" s="3897"/>
      <c r="D678" s="3898"/>
      <c r="E678" s="3507" t="s">
        <v>3967</v>
      </c>
      <c r="F678" s="3522">
        <v>40.43</v>
      </c>
      <c r="G678" s="3509">
        <v>6.56</v>
      </c>
      <c r="H678" s="3505" t="s">
        <v>3557</v>
      </c>
      <c r="I678" s="3552">
        <v>18</v>
      </c>
    </row>
    <row r="679" spans="1:9" s="3472" customFormat="1">
      <c r="A679" s="3911"/>
      <c r="B679" s="3897"/>
      <c r="C679" s="3897"/>
      <c r="D679" s="3898"/>
      <c r="E679" s="3507" t="s">
        <v>3968</v>
      </c>
      <c r="F679" s="3522">
        <v>40.43</v>
      </c>
      <c r="G679" s="3509">
        <v>6.56</v>
      </c>
      <c r="H679" s="3505" t="s">
        <v>3557</v>
      </c>
      <c r="I679" s="3552">
        <v>18</v>
      </c>
    </row>
    <row r="680" spans="1:9" s="3472" customFormat="1">
      <c r="A680" s="3911"/>
      <c r="B680" s="3897"/>
      <c r="C680" s="3897"/>
      <c r="D680" s="3898"/>
      <c r="E680" s="3507" t="s">
        <v>3969</v>
      </c>
      <c r="F680" s="3522">
        <v>40.43</v>
      </c>
      <c r="G680" s="3509">
        <v>6.56</v>
      </c>
      <c r="H680" s="3505" t="s">
        <v>3557</v>
      </c>
      <c r="I680" s="3552">
        <v>18</v>
      </c>
    </row>
    <row r="681" spans="1:9" s="3472" customFormat="1">
      <c r="A681" s="3911"/>
      <c r="B681" s="3897"/>
      <c r="C681" s="3897"/>
      <c r="D681" s="3898"/>
      <c r="E681" s="3507" t="s">
        <v>3970</v>
      </c>
      <c r="F681" s="3522">
        <v>40.43</v>
      </c>
      <c r="G681" s="3509">
        <v>6.56</v>
      </c>
      <c r="H681" s="3505" t="s">
        <v>3557</v>
      </c>
      <c r="I681" s="3552">
        <v>18</v>
      </c>
    </row>
    <row r="682" spans="1:9" s="3472" customFormat="1">
      <c r="A682" s="3911"/>
      <c r="B682" s="3897"/>
      <c r="C682" s="3897"/>
      <c r="D682" s="3898"/>
      <c r="E682" s="3507" t="s">
        <v>3971</v>
      </c>
      <c r="F682" s="3522">
        <v>40.43</v>
      </c>
      <c r="G682" s="3509">
        <v>6.56</v>
      </c>
      <c r="H682" s="3505" t="s">
        <v>3557</v>
      </c>
      <c r="I682" s="3552">
        <v>18</v>
      </c>
    </row>
    <row r="683" spans="1:9" s="3472" customFormat="1">
      <c r="A683" s="3911"/>
      <c r="B683" s="3897"/>
      <c r="C683" s="3897"/>
      <c r="D683" s="3898"/>
      <c r="E683" s="3507" t="s">
        <v>3972</v>
      </c>
      <c r="F683" s="3522">
        <v>40.43</v>
      </c>
      <c r="G683" s="3509">
        <v>6.56</v>
      </c>
      <c r="H683" s="3505" t="s">
        <v>3557</v>
      </c>
      <c r="I683" s="3552">
        <v>18</v>
      </c>
    </row>
    <row r="684" spans="1:9" s="3472" customFormat="1">
      <c r="A684" s="3911"/>
      <c r="B684" s="3897"/>
      <c r="C684" s="3897"/>
      <c r="D684" s="3898"/>
      <c r="E684" s="3507" t="s">
        <v>3973</v>
      </c>
      <c r="F684" s="3522">
        <v>40.43</v>
      </c>
      <c r="G684" s="3509">
        <v>6.56</v>
      </c>
      <c r="H684" s="3505" t="s">
        <v>3557</v>
      </c>
      <c r="I684" s="3552">
        <v>18</v>
      </c>
    </row>
    <row r="685" spans="1:9" s="3472" customFormat="1">
      <c r="A685" s="3911"/>
      <c r="B685" s="3897"/>
      <c r="C685" s="3897"/>
      <c r="D685" s="3898"/>
      <c r="E685" s="3507" t="s">
        <v>3974</v>
      </c>
      <c r="F685" s="3522">
        <v>40.43</v>
      </c>
      <c r="G685" s="3509">
        <v>6.56</v>
      </c>
      <c r="H685" s="3505" t="s">
        <v>3557</v>
      </c>
      <c r="I685" s="3552">
        <v>18</v>
      </c>
    </row>
    <row r="686" spans="1:9" s="3472" customFormat="1">
      <c r="A686" s="3911"/>
      <c r="B686" s="3897"/>
      <c r="C686" s="3897"/>
      <c r="D686" s="3898"/>
      <c r="E686" s="3507" t="s">
        <v>3975</v>
      </c>
      <c r="F686" s="3522">
        <v>40.43</v>
      </c>
      <c r="G686" s="3509">
        <v>6.56</v>
      </c>
      <c r="H686" s="3505" t="s">
        <v>3557</v>
      </c>
      <c r="I686" s="3552">
        <v>18</v>
      </c>
    </row>
    <row r="687" spans="1:9" s="3472" customFormat="1">
      <c r="A687" s="3911"/>
      <c r="B687" s="3897"/>
      <c r="C687" s="3897"/>
      <c r="D687" s="3898"/>
      <c r="E687" s="3507" t="s">
        <v>3976</v>
      </c>
      <c r="F687" s="3522">
        <v>40.43</v>
      </c>
      <c r="G687" s="3509">
        <v>6.56</v>
      </c>
      <c r="H687" s="3505" t="s">
        <v>3557</v>
      </c>
      <c r="I687" s="3552">
        <v>18</v>
      </c>
    </row>
    <row r="688" spans="1:9" s="3472" customFormat="1">
      <c r="A688" s="3911"/>
      <c r="B688" s="3897"/>
      <c r="C688" s="3897"/>
      <c r="D688" s="3898"/>
      <c r="E688" s="3507" t="s">
        <v>3977</v>
      </c>
      <c r="F688" s="3522">
        <v>40.43</v>
      </c>
      <c r="G688" s="3509">
        <v>6.56</v>
      </c>
      <c r="H688" s="3505" t="s">
        <v>3557</v>
      </c>
      <c r="I688" s="3552">
        <v>18</v>
      </c>
    </row>
    <row r="689" spans="1:9" s="3472" customFormat="1">
      <c r="A689" s="3911"/>
      <c r="B689" s="3897"/>
      <c r="C689" s="3897"/>
      <c r="D689" s="3898"/>
      <c r="E689" s="3507" t="s">
        <v>3978</v>
      </c>
      <c r="F689" s="3522">
        <v>40.43</v>
      </c>
      <c r="G689" s="3509">
        <v>6.56</v>
      </c>
      <c r="H689" s="3505" t="s">
        <v>3557</v>
      </c>
      <c r="I689" s="3552">
        <v>18</v>
      </c>
    </row>
    <row r="690" spans="1:9" s="3472" customFormat="1">
      <c r="A690" s="3911"/>
      <c r="B690" s="3897"/>
      <c r="C690" s="3897"/>
      <c r="D690" s="3898"/>
      <c r="E690" s="3507" t="s">
        <v>3979</v>
      </c>
      <c r="F690" s="3522">
        <v>40.43</v>
      </c>
      <c r="G690" s="3509">
        <v>6.56</v>
      </c>
      <c r="H690" s="3505" t="s">
        <v>3557</v>
      </c>
      <c r="I690" s="3552">
        <v>18</v>
      </c>
    </row>
    <row r="691" spans="1:9" s="3472" customFormat="1">
      <c r="A691" s="3911"/>
      <c r="B691" s="3897"/>
      <c r="C691" s="3897"/>
      <c r="D691" s="3898"/>
      <c r="E691" s="3507" t="s">
        <v>3980</v>
      </c>
      <c r="F691" s="3522">
        <v>40.43</v>
      </c>
      <c r="G691" s="3509">
        <v>6.56</v>
      </c>
      <c r="H691" s="3505" t="s">
        <v>3557</v>
      </c>
      <c r="I691" s="3552">
        <v>18</v>
      </c>
    </row>
    <row r="692" spans="1:9" s="3472" customFormat="1">
      <c r="A692" s="3911"/>
      <c r="B692" s="3897"/>
      <c r="C692" s="3897"/>
      <c r="D692" s="3898"/>
      <c r="E692" s="3507" t="s">
        <v>3981</v>
      </c>
      <c r="F692" s="3522">
        <v>40.43</v>
      </c>
      <c r="G692" s="3509">
        <v>6.56</v>
      </c>
      <c r="H692" s="3505" t="s">
        <v>3557</v>
      </c>
      <c r="I692" s="3552">
        <v>18</v>
      </c>
    </row>
    <row r="693" spans="1:9" s="3472" customFormat="1">
      <c r="A693" s="3911"/>
      <c r="B693" s="3897"/>
      <c r="C693" s="3897"/>
      <c r="D693" s="3898"/>
      <c r="E693" s="3507" t="s">
        <v>3982</v>
      </c>
      <c r="F693" s="3522">
        <v>40.43</v>
      </c>
      <c r="G693" s="3509">
        <v>6.56</v>
      </c>
      <c r="H693" s="3505" t="s">
        <v>3557</v>
      </c>
      <c r="I693" s="3552">
        <v>18</v>
      </c>
    </row>
    <row r="694" spans="1:9" s="3472" customFormat="1">
      <c r="A694" s="3911"/>
      <c r="B694" s="3897"/>
      <c r="C694" s="3897"/>
      <c r="D694" s="3898"/>
      <c r="E694" s="3507" t="s">
        <v>3983</v>
      </c>
      <c r="F694" s="3522">
        <v>40.43</v>
      </c>
      <c r="G694" s="3509">
        <v>6.56</v>
      </c>
      <c r="H694" s="3505" t="s">
        <v>3557</v>
      </c>
      <c r="I694" s="3552">
        <v>18</v>
      </c>
    </row>
    <row r="695" spans="1:9" s="3472" customFormat="1">
      <c r="A695" s="3911"/>
      <c r="B695" s="3897"/>
      <c r="C695" s="3897"/>
      <c r="D695" s="3898"/>
      <c r="E695" s="3507" t="s">
        <v>3984</v>
      </c>
      <c r="F695" s="3522">
        <v>40.43</v>
      </c>
      <c r="G695" s="3509">
        <v>6.56</v>
      </c>
      <c r="H695" s="3505" t="s">
        <v>3557</v>
      </c>
      <c r="I695" s="3552">
        <v>18</v>
      </c>
    </row>
    <row r="696" spans="1:9" s="3472" customFormat="1">
      <c r="A696" s="3911"/>
      <c r="B696" s="3897" t="s">
        <v>3769</v>
      </c>
      <c r="C696" s="3897" t="s">
        <v>3770</v>
      </c>
      <c r="D696" s="3898" t="s">
        <v>3771</v>
      </c>
      <c r="E696" s="3507" t="s">
        <v>3985</v>
      </c>
      <c r="F696" s="3522">
        <v>40.43</v>
      </c>
      <c r="G696" s="3509">
        <v>6.56</v>
      </c>
      <c r="H696" s="3505" t="s">
        <v>3557</v>
      </c>
      <c r="I696" s="3552">
        <v>18</v>
      </c>
    </row>
    <row r="697" spans="1:9" s="3472" customFormat="1">
      <c r="A697" s="3911"/>
      <c r="B697" s="3897"/>
      <c r="C697" s="3897"/>
      <c r="D697" s="3898"/>
      <c r="E697" s="3507" t="s">
        <v>3986</v>
      </c>
      <c r="F697" s="3522">
        <v>40.43</v>
      </c>
      <c r="G697" s="3509">
        <v>6.56</v>
      </c>
      <c r="H697" s="3505" t="s">
        <v>3557</v>
      </c>
      <c r="I697" s="3552">
        <v>18</v>
      </c>
    </row>
    <row r="698" spans="1:9" s="3472" customFormat="1">
      <c r="A698" s="3911"/>
      <c r="B698" s="3897"/>
      <c r="C698" s="3897"/>
      <c r="D698" s="3898"/>
      <c r="E698" s="3507" t="s">
        <v>3987</v>
      </c>
      <c r="F698" s="3522">
        <v>40.43</v>
      </c>
      <c r="G698" s="3509">
        <v>6.56</v>
      </c>
      <c r="H698" s="3505" t="s">
        <v>3557</v>
      </c>
      <c r="I698" s="3552">
        <v>18</v>
      </c>
    </row>
    <row r="699" spans="1:9" s="3472" customFormat="1">
      <c r="A699" s="3911"/>
      <c r="B699" s="3897"/>
      <c r="C699" s="3897"/>
      <c r="D699" s="3898"/>
      <c r="E699" s="3507" t="s">
        <v>3988</v>
      </c>
      <c r="F699" s="3522">
        <v>40.43</v>
      </c>
      <c r="G699" s="3509">
        <v>6.56</v>
      </c>
      <c r="H699" s="3505" t="s">
        <v>3557</v>
      </c>
      <c r="I699" s="3552">
        <v>18</v>
      </c>
    </row>
    <row r="700" spans="1:9" s="3472" customFormat="1">
      <c r="A700" s="3911"/>
      <c r="B700" s="3897"/>
      <c r="C700" s="3897"/>
      <c r="D700" s="3898"/>
      <c r="E700" s="3507" t="s">
        <v>3989</v>
      </c>
      <c r="F700" s="3522">
        <v>40.43</v>
      </c>
      <c r="G700" s="3509">
        <v>6.56</v>
      </c>
      <c r="H700" s="3505" t="s">
        <v>3557</v>
      </c>
      <c r="I700" s="3552">
        <v>18</v>
      </c>
    </row>
    <row r="701" spans="1:9" s="3472" customFormat="1">
      <c r="A701" s="3911"/>
      <c r="B701" s="3897"/>
      <c r="C701" s="3897"/>
      <c r="D701" s="3898"/>
      <c r="E701" s="3507" t="s">
        <v>3990</v>
      </c>
      <c r="F701" s="3522">
        <v>40.43</v>
      </c>
      <c r="G701" s="3509">
        <v>6.56</v>
      </c>
      <c r="H701" s="3505" t="s">
        <v>3557</v>
      </c>
      <c r="I701" s="3552">
        <v>18</v>
      </c>
    </row>
    <row r="702" spans="1:9" s="3472" customFormat="1">
      <c r="A702" s="3911"/>
      <c r="B702" s="3897"/>
      <c r="C702" s="3897"/>
      <c r="D702" s="3898"/>
      <c r="E702" s="3507" t="s">
        <v>3991</v>
      </c>
      <c r="F702" s="3522">
        <v>40.43</v>
      </c>
      <c r="G702" s="3509">
        <v>6.56</v>
      </c>
      <c r="H702" s="3505" t="s">
        <v>3557</v>
      </c>
      <c r="I702" s="3552">
        <v>18</v>
      </c>
    </row>
    <row r="703" spans="1:9" s="3472" customFormat="1">
      <c r="A703" s="3911"/>
      <c r="B703" s="3897"/>
      <c r="C703" s="3897"/>
      <c r="D703" s="3898"/>
      <c r="E703" s="3507" t="s">
        <v>3992</v>
      </c>
      <c r="F703" s="3522">
        <v>40.43</v>
      </c>
      <c r="G703" s="3509">
        <v>6.56</v>
      </c>
      <c r="H703" s="3505" t="s">
        <v>3557</v>
      </c>
      <c r="I703" s="3552">
        <v>18</v>
      </c>
    </row>
    <row r="704" spans="1:9" s="3472" customFormat="1">
      <c r="A704" s="3911"/>
      <c r="B704" s="3897"/>
      <c r="C704" s="3897"/>
      <c r="D704" s="3898"/>
      <c r="E704" s="3507" t="s">
        <v>3993</v>
      </c>
      <c r="F704" s="3522">
        <v>40.43</v>
      </c>
      <c r="G704" s="3509">
        <v>6.56</v>
      </c>
      <c r="H704" s="3505" t="s">
        <v>3557</v>
      </c>
      <c r="I704" s="3552">
        <v>18</v>
      </c>
    </row>
    <row r="705" spans="1:9" s="3472" customFormat="1">
      <c r="A705" s="3911"/>
      <c r="B705" s="3897"/>
      <c r="C705" s="3897"/>
      <c r="D705" s="3898"/>
      <c r="E705" s="3507" t="s">
        <v>3994</v>
      </c>
      <c r="F705" s="3522">
        <v>40.43</v>
      </c>
      <c r="G705" s="3509">
        <v>6.56</v>
      </c>
      <c r="H705" s="3505" t="s">
        <v>3557</v>
      </c>
      <c r="I705" s="3552">
        <v>18</v>
      </c>
    </row>
    <row r="706" spans="1:9" s="3472" customFormat="1">
      <c r="A706" s="3911"/>
      <c r="B706" s="3897"/>
      <c r="C706" s="3897"/>
      <c r="D706" s="3898"/>
      <c r="E706" s="3507" t="s">
        <v>3995</v>
      </c>
      <c r="F706" s="3522">
        <v>40.43</v>
      </c>
      <c r="G706" s="3509">
        <v>6.56</v>
      </c>
      <c r="H706" s="3505" t="s">
        <v>3557</v>
      </c>
      <c r="I706" s="3552">
        <v>18</v>
      </c>
    </row>
    <row r="707" spans="1:9" s="3472" customFormat="1">
      <c r="A707" s="3911"/>
      <c r="B707" s="3897"/>
      <c r="C707" s="3897"/>
      <c r="D707" s="3898"/>
      <c r="E707" s="3507" t="s">
        <v>3996</v>
      </c>
      <c r="F707" s="3522">
        <v>40.43</v>
      </c>
      <c r="G707" s="3509">
        <v>6.56</v>
      </c>
      <c r="H707" s="3505" t="s">
        <v>3557</v>
      </c>
      <c r="I707" s="3552">
        <v>18</v>
      </c>
    </row>
    <row r="708" spans="1:9" s="3472" customFormat="1">
      <c r="A708" s="3911"/>
      <c r="B708" s="3897"/>
      <c r="C708" s="3897"/>
      <c r="D708" s="3898"/>
      <c r="E708" s="3507" t="s">
        <v>3997</v>
      </c>
      <c r="F708" s="3522">
        <v>40.43</v>
      </c>
      <c r="G708" s="3509">
        <v>6.56</v>
      </c>
      <c r="H708" s="3505" t="s">
        <v>3557</v>
      </c>
      <c r="I708" s="3552">
        <v>18</v>
      </c>
    </row>
    <row r="709" spans="1:9" s="3472" customFormat="1">
      <c r="A709" s="3911"/>
      <c r="B709" s="3897"/>
      <c r="C709" s="3897"/>
      <c r="D709" s="3898"/>
      <c r="E709" s="3507" t="s">
        <v>3998</v>
      </c>
      <c r="F709" s="3522">
        <v>40.43</v>
      </c>
      <c r="G709" s="3509">
        <v>6.56</v>
      </c>
      <c r="H709" s="3505" t="s">
        <v>3557</v>
      </c>
      <c r="I709" s="3552">
        <v>18</v>
      </c>
    </row>
    <row r="710" spans="1:9" s="3472" customFormat="1">
      <c r="A710" s="3911"/>
      <c r="B710" s="3897"/>
      <c r="C710" s="3897"/>
      <c r="D710" s="3898"/>
      <c r="E710" s="3507" t="s">
        <v>3999</v>
      </c>
      <c r="F710" s="3522">
        <v>40.43</v>
      </c>
      <c r="G710" s="3509">
        <v>6.56</v>
      </c>
      <c r="H710" s="3505" t="s">
        <v>3557</v>
      </c>
      <c r="I710" s="3552">
        <v>18</v>
      </c>
    </row>
    <row r="711" spans="1:9" s="3472" customFormat="1">
      <c r="A711" s="3911"/>
      <c r="B711" s="3897"/>
      <c r="C711" s="3897"/>
      <c r="D711" s="3898"/>
      <c r="E711" s="3507" t="s">
        <v>4000</v>
      </c>
      <c r="F711" s="3522">
        <v>40.43</v>
      </c>
      <c r="G711" s="3509">
        <v>6.56</v>
      </c>
      <c r="H711" s="3505" t="s">
        <v>3557</v>
      </c>
      <c r="I711" s="3552">
        <v>18</v>
      </c>
    </row>
    <row r="712" spans="1:9" s="3472" customFormat="1">
      <c r="A712" s="3911"/>
      <c r="B712" s="3897"/>
      <c r="C712" s="3897"/>
      <c r="D712" s="3898"/>
      <c r="E712" s="3507" t="s">
        <v>4001</v>
      </c>
      <c r="F712" s="3522">
        <v>40.43</v>
      </c>
      <c r="G712" s="3509">
        <v>6.56</v>
      </c>
      <c r="H712" s="3505" t="s">
        <v>3557</v>
      </c>
      <c r="I712" s="3552">
        <v>18</v>
      </c>
    </row>
    <row r="713" spans="1:9" s="3472" customFormat="1">
      <c r="A713" s="3911"/>
      <c r="B713" s="3897"/>
      <c r="C713" s="3897"/>
      <c r="D713" s="3898"/>
      <c r="E713" s="3507" t="s">
        <v>4002</v>
      </c>
      <c r="F713" s="3522">
        <v>40.43</v>
      </c>
      <c r="G713" s="3509">
        <v>6.56</v>
      </c>
      <c r="H713" s="3505" t="s">
        <v>3557</v>
      </c>
      <c r="I713" s="3552">
        <v>18</v>
      </c>
    </row>
    <row r="714" spans="1:9" s="3472" customFormat="1">
      <c r="A714" s="3911"/>
      <c r="B714" s="3897"/>
      <c r="C714" s="3897"/>
      <c r="D714" s="3898"/>
      <c r="E714" s="3507" t="s">
        <v>4003</v>
      </c>
      <c r="F714" s="3522">
        <v>40.43</v>
      </c>
      <c r="G714" s="3509">
        <v>6.56</v>
      </c>
      <c r="H714" s="3505" t="s">
        <v>3557</v>
      </c>
      <c r="I714" s="3552">
        <v>18</v>
      </c>
    </row>
    <row r="715" spans="1:9" s="3472" customFormat="1">
      <c r="A715" s="3911"/>
      <c r="B715" s="3897"/>
      <c r="C715" s="3897"/>
      <c r="D715" s="3898"/>
      <c r="E715" s="3507" t="s">
        <v>4004</v>
      </c>
      <c r="F715" s="3522">
        <v>40.43</v>
      </c>
      <c r="G715" s="3509">
        <v>6.56</v>
      </c>
      <c r="H715" s="3505" t="s">
        <v>3557</v>
      </c>
      <c r="I715" s="3552">
        <v>18</v>
      </c>
    </row>
    <row r="716" spans="1:9" s="3472" customFormat="1">
      <c r="A716" s="3911"/>
      <c r="B716" s="3897"/>
      <c r="C716" s="3897"/>
      <c r="D716" s="3898"/>
      <c r="E716" s="3507" t="s">
        <v>4005</v>
      </c>
      <c r="F716" s="3522">
        <v>40.43</v>
      </c>
      <c r="G716" s="3509">
        <v>6.56</v>
      </c>
      <c r="H716" s="3505" t="s">
        <v>3557</v>
      </c>
      <c r="I716" s="3552">
        <v>18</v>
      </c>
    </row>
    <row r="717" spans="1:9" s="3472" customFormat="1">
      <c r="A717" s="3911"/>
      <c r="B717" s="3897"/>
      <c r="C717" s="3897"/>
      <c r="D717" s="3898"/>
      <c r="E717" s="3507" t="s">
        <v>4006</v>
      </c>
      <c r="F717" s="3522">
        <v>40.43</v>
      </c>
      <c r="G717" s="3509">
        <v>6.56</v>
      </c>
      <c r="H717" s="3505" t="s">
        <v>3557</v>
      </c>
      <c r="I717" s="3552">
        <v>18</v>
      </c>
    </row>
    <row r="718" spans="1:9" s="3472" customFormat="1">
      <c r="A718" s="3911"/>
      <c r="B718" s="3897"/>
      <c r="C718" s="3897"/>
      <c r="D718" s="3898"/>
      <c r="E718" s="3507" t="s">
        <v>4007</v>
      </c>
      <c r="F718" s="3522">
        <v>40.43</v>
      </c>
      <c r="G718" s="3509">
        <v>6.56</v>
      </c>
      <c r="H718" s="3505" t="s">
        <v>3557</v>
      </c>
      <c r="I718" s="3552">
        <v>18</v>
      </c>
    </row>
    <row r="719" spans="1:9" s="3472" customFormat="1">
      <c r="A719" s="3911"/>
      <c r="B719" s="3897"/>
      <c r="C719" s="3897"/>
      <c r="D719" s="3898"/>
      <c r="E719" s="3507" t="s">
        <v>4008</v>
      </c>
      <c r="F719" s="3522">
        <v>40.43</v>
      </c>
      <c r="G719" s="3509">
        <v>6.56</v>
      </c>
      <c r="H719" s="3505" t="s">
        <v>3557</v>
      </c>
      <c r="I719" s="3552">
        <v>18</v>
      </c>
    </row>
    <row r="720" spans="1:9" s="3472" customFormat="1">
      <c r="A720" s="3911"/>
      <c r="B720" s="3897"/>
      <c r="C720" s="3897"/>
      <c r="D720" s="3898"/>
      <c r="E720" s="3507" t="s">
        <v>4009</v>
      </c>
      <c r="F720" s="3522">
        <v>40.43</v>
      </c>
      <c r="G720" s="3509">
        <v>6.56</v>
      </c>
      <c r="H720" s="3505" t="s">
        <v>3557</v>
      </c>
      <c r="I720" s="3552">
        <v>18</v>
      </c>
    </row>
    <row r="721" spans="1:9" s="3472" customFormat="1">
      <c r="A721" s="3911"/>
      <c r="B721" s="3897"/>
      <c r="C721" s="3897"/>
      <c r="D721" s="3898"/>
      <c r="E721" s="3507" t="s">
        <v>4010</v>
      </c>
      <c r="F721" s="3522">
        <v>40.43</v>
      </c>
      <c r="G721" s="3509">
        <v>6.56</v>
      </c>
      <c r="H721" s="3505" t="s">
        <v>3557</v>
      </c>
      <c r="I721" s="3552">
        <v>18</v>
      </c>
    </row>
    <row r="722" spans="1:9" s="3472" customFormat="1">
      <c r="A722" s="3911"/>
      <c r="B722" s="3897"/>
      <c r="C722" s="3897"/>
      <c r="D722" s="3898"/>
      <c r="E722" s="3507" t="s">
        <v>4011</v>
      </c>
      <c r="F722" s="3522">
        <v>40.43</v>
      </c>
      <c r="G722" s="3509">
        <v>6.56</v>
      </c>
      <c r="H722" s="3505" t="s">
        <v>3557</v>
      </c>
      <c r="I722" s="3552">
        <v>18</v>
      </c>
    </row>
    <row r="723" spans="1:9" s="3472" customFormat="1">
      <c r="A723" s="3911"/>
      <c r="B723" s="3897"/>
      <c r="C723" s="3897"/>
      <c r="D723" s="3898"/>
      <c r="E723" s="3507" t="s">
        <v>4012</v>
      </c>
      <c r="F723" s="3522">
        <v>40.43</v>
      </c>
      <c r="G723" s="3509">
        <v>6.56</v>
      </c>
      <c r="H723" s="3505" t="s">
        <v>3557</v>
      </c>
      <c r="I723" s="3552">
        <v>18</v>
      </c>
    </row>
    <row r="724" spans="1:9" s="3472" customFormat="1">
      <c r="A724" s="3911"/>
      <c r="B724" s="3897"/>
      <c r="C724" s="3897"/>
      <c r="D724" s="3898"/>
      <c r="E724" s="3507" t="s">
        <v>4013</v>
      </c>
      <c r="F724" s="3522">
        <v>40.43</v>
      </c>
      <c r="G724" s="3509">
        <v>6.56</v>
      </c>
      <c r="H724" s="3505" t="s">
        <v>3557</v>
      </c>
      <c r="I724" s="3552">
        <v>18</v>
      </c>
    </row>
    <row r="725" spans="1:9" s="3472" customFormat="1">
      <c r="A725" s="3911"/>
      <c r="B725" s="3897"/>
      <c r="C725" s="3897"/>
      <c r="D725" s="3898"/>
      <c r="E725" s="3507" t="s">
        <v>4014</v>
      </c>
      <c r="F725" s="3522">
        <v>40.43</v>
      </c>
      <c r="G725" s="3509">
        <v>6.56</v>
      </c>
      <c r="H725" s="3505" t="s">
        <v>3557</v>
      </c>
      <c r="I725" s="3552">
        <v>18</v>
      </c>
    </row>
    <row r="726" spans="1:9" s="3472" customFormat="1">
      <c r="A726" s="3911"/>
      <c r="B726" s="3897"/>
      <c r="C726" s="3897"/>
      <c r="D726" s="3898"/>
      <c r="E726" s="3507" t="s">
        <v>4015</v>
      </c>
      <c r="F726" s="3522">
        <v>40.43</v>
      </c>
      <c r="G726" s="3509">
        <v>6.56</v>
      </c>
      <c r="H726" s="3505" t="s">
        <v>3557</v>
      </c>
      <c r="I726" s="3552">
        <v>18</v>
      </c>
    </row>
    <row r="727" spans="1:9" s="3472" customFormat="1">
      <c r="A727" s="3911"/>
      <c r="B727" s="3897"/>
      <c r="C727" s="3897"/>
      <c r="D727" s="3898"/>
      <c r="E727" s="3507" t="s">
        <v>4016</v>
      </c>
      <c r="F727" s="3522">
        <v>40.43</v>
      </c>
      <c r="G727" s="3509">
        <v>6.56</v>
      </c>
      <c r="H727" s="3505" t="s">
        <v>3557</v>
      </c>
      <c r="I727" s="3552">
        <v>18</v>
      </c>
    </row>
    <row r="728" spans="1:9" s="3472" customFormat="1">
      <c r="A728" s="3911"/>
      <c r="B728" s="3897"/>
      <c r="C728" s="3897"/>
      <c r="D728" s="3898"/>
      <c r="E728" s="3507" t="s">
        <v>4017</v>
      </c>
      <c r="F728" s="3522">
        <v>40.43</v>
      </c>
      <c r="G728" s="3509">
        <v>6.56</v>
      </c>
      <c r="H728" s="3505" t="s">
        <v>3557</v>
      </c>
      <c r="I728" s="3552">
        <v>18</v>
      </c>
    </row>
    <row r="729" spans="1:9" s="3472" customFormat="1">
      <c r="A729" s="3911"/>
      <c r="B729" s="3897"/>
      <c r="C729" s="3897"/>
      <c r="D729" s="3898"/>
      <c r="E729" s="3507" t="s">
        <v>4018</v>
      </c>
      <c r="F729" s="3522">
        <v>40.43</v>
      </c>
      <c r="G729" s="3509">
        <v>6.56</v>
      </c>
      <c r="H729" s="3505" t="s">
        <v>3557</v>
      </c>
      <c r="I729" s="3552">
        <v>18</v>
      </c>
    </row>
    <row r="730" spans="1:9" s="3472" customFormat="1">
      <c r="A730" s="3911"/>
      <c r="B730" s="3897"/>
      <c r="C730" s="3897"/>
      <c r="D730" s="3898"/>
      <c r="E730" s="3507" t="s">
        <v>4019</v>
      </c>
      <c r="F730" s="3522">
        <v>40.43</v>
      </c>
      <c r="G730" s="3509">
        <v>6.56</v>
      </c>
      <c r="H730" s="3505" t="s">
        <v>3557</v>
      </c>
      <c r="I730" s="3552">
        <v>18</v>
      </c>
    </row>
    <row r="731" spans="1:9" s="3472" customFormat="1">
      <c r="A731" s="3911"/>
      <c r="B731" s="3897"/>
      <c r="C731" s="3897"/>
      <c r="D731" s="3898"/>
      <c r="E731" s="3507" t="s">
        <v>4020</v>
      </c>
      <c r="F731" s="3522">
        <v>40.43</v>
      </c>
      <c r="G731" s="3509">
        <v>6.56</v>
      </c>
      <c r="H731" s="3505" t="s">
        <v>3557</v>
      </c>
      <c r="I731" s="3552">
        <v>18</v>
      </c>
    </row>
    <row r="732" spans="1:9" s="3472" customFormat="1">
      <c r="A732" s="3911"/>
      <c r="B732" s="3897"/>
      <c r="C732" s="3897"/>
      <c r="D732" s="3898"/>
      <c r="E732" s="3507" t="s">
        <v>4021</v>
      </c>
      <c r="F732" s="3522">
        <v>40.43</v>
      </c>
      <c r="G732" s="3509">
        <v>6.56</v>
      </c>
      <c r="H732" s="3505" t="s">
        <v>3557</v>
      </c>
      <c r="I732" s="3552">
        <v>18</v>
      </c>
    </row>
    <row r="733" spans="1:9" s="3472" customFormat="1">
      <c r="A733" s="3911"/>
      <c r="B733" s="3897" t="s">
        <v>3769</v>
      </c>
      <c r="C733" s="3897" t="s">
        <v>3770</v>
      </c>
      <c r="D733" s="3898" t="s">
        <v>3771</v>
      </c>
      <c r="E733" s="3507" t="s">
        <v>4022</v>
      </c>
      <c r="F733" s="3522">
        <v>40.43</v>
      </c>
      <c r="G733" s="3509">
        <v>6.56</v>
      </c>
      <c r="H733" s="3505" t="s">
        <v>3557</v>
      </c>
      <c r="I733" s="3552">
        <v>18</v>
      </c>
    </row>
    <row r="734" spans="1:9" s="3472" customFormat="1">
      <c r="A734" s="3911"/>
      <c r="B734" s="3897"/>
      <c r="C734" s="3897"/>
      <c r="D734" s="3898"/>
      <c r="E734" s="3507" t="s">
        <v>4023</v>
      </c>
      <c r="F734" s="3522">
        <v>40.43</v>
      </c>
      <c r="G734" s="3509">
        <v>6.56</v>
      </c>
      <c r="H734" s="3505" t="s">
        <v>3557</v>
      </c>
      <c r="I734" s="3552">
        <v>18</v>
      </c>
    </row>
    <row r="735" spans="1:9" s="3472" customFormat="1">
      <c r="A735" s="3911"/>
      <c r="B735" s="3897"/>
      <c r="C735" s="3897"/>
      <c r="D735" s="3898"/>
      <c r="E735" s="3507" t="s">
        <v>4024</v>
      </c>
      <c r="F735" s="3522">
        <v>40.43</v>
      </c>
      <c r="G735" s="3509">
        <v>6.56</v>
      </c>
      <c r="H735" s="3505" t="s">
        <v>3557</v>
      </c>
      <c r="I735" s="3552">
        <v>18</v>
      </c>
    </row>
    <row r="736" spans="1:9" s="3472" customFormat="1">
      <c r="A736" s="3911"/>
      <c r="B736" s="3897"/>
      <c r="C736" s="3897"/>
      <c r="D736" s="3898"/>
      <c r="E736" s="3507" t="s">
        <v>4025</v>
      </c>
      <c r="F736" s="3522">
        <v>40.43</v>
      </c>
      <c r="G736" s="3509">
        <v>6.56</v>
      </c>
      <c r="H736" s="3505" t="s">
        <v>3557</v>
      </c>
      <c r="I736" s="3552">
        <v>18</v>
      </c>
    </row>
    <row r="737" spans="1:9" s="3472" customFormat="1">
      <c r="A737" s="3911"/>
      <c r="B737" s="3897"/>
      <c r="C737" s="3897"/>
      <c r="D737" s="3898"/>
      <c r="E737" s="3507" t="s">
        <v>4026</v>
      </c>
      <c r="F737" s="3522">
        <v>40.43</v>
      </c>
      <c r="G737" s="3509">
        <v>6.56</v>
      </c>
      <c r="H737" s="3505" t="s">
        <v>3557</v>
      </c>
      <c r="I737" s="3552">
        <v>18</v>
      </c>
    </row>
    <row r="738" spans="1:9" s="3472" customFormat="1">
      <c r="A738" s="3911"/>
      <c r="B738" s="3897"/>
      <c r="C738" s="3897"/>
      <c r="D738" s="3898"/>
      <c r="E738" s="3507" t="s">
        <v>4027</v>
      </c>
      <c r="F738" s="3522">
        <v>40.43</v>
      </c>
      <c r="G738" s="3509">
        <v>6.56</v>
      </c>
      <c r="H738" s="3505" t="s">
        <v>3557</v>
      </c>
      <c r="I738" s="3552">
        <v>18</v>
      </c>
    </row>
    <row r="739" spans="1:9" s="3472" customFormat="1">
      <c r="A739" s="3911"/>
      <c r="B739" s="3897"/>
      <c r="C739" s="3897"/>
      <c r="D739" s="3898"/>
      <c r="E739" s="3507" t="s">
        <v>4028</v>
      </c>
      <c r="F739" s="3522">
        <v>40.43</v>
      </c>
      <c r="G739" s="3509">
        <v>6.56</v>
      </c>
      <c r="H739" s="3505" t="s">
        <v>3557</v>
      </c>
      <c r="I739" s="3552">
        <v>18</v>
      </c>
    </row>
    <row r="740" spans="1:9" s="3472" customFormat="1">
      <c r="A740" s="3911"/>
      <c r="B740" s="3897"/>
      <c r="C740" s="3897"/>
      <c r="D740" s="3898"/>
      <c r="E740" s="3507" t="s">
        <v>4029</v>
      </c>
      <c r="F740" s="3522">
        <v>40.43</v>
      </c>
      <c r="G740" s="3509">
        <v>6.56</v>
      </c>
      <c r="H740" s="3505" t="s">
        <v>3557</v>
      </c>
      <c r="I740" s="3552">
        <v>18</v>
      </c>
    </row>
    <row r="741" spans="1:9" s="3472" customFormat="1">
      <c r="A741" s="3911"/>
      <c r="B741" s="3897"/>
      <c r="C741" s="3897"/>
      <c r="D741" s="3898"/>
      <c r="E741" s="3507" t="s">
        <v>4030</v>
      </c>
      <c r="F741" s="3522">
        <v>40.43</v>
      </c>
      <c r="G741" s="3509">
        <v>6.56</v>
      </c>
      <c r="H741" s="3505" t="s">
        <v>3557</v>
      </c>
      <c r="I741" s="3552">
        <v>18</v>
      </c>
    </row>
    <row r="742" spans="1:9" s="3472" customFormat="1">
      <c r="A742" s="3911"/>
      <c r="B742" s="3897"/>
      <c r="C742" s="3897"/>
      <c r="D742" s="3898"/>
      <c r="E742" s="3507" t="s">
        <v>4031</v>
      </c>
      <c r="F742" s="3522">
        <v>40.43</v>
      </c>
      <c r="G742" s="3509">
        <v>6.56</v>
      </c>
      <c r="H742" s="3505" t="s">
        <v>3557</v>
      </c>
      <c r="I742" s="3552">
        <v>18</v>
      </c>
    </row>
    <row r="743" spans="1:9" s="3472" customFormat="1">
      <c r="A743" s="3911"/>
      <c r="B743" s="3897"/>
      <c r="C743" s="3897"/>
      <c r="D743" s="3898"/>
      <c r="E743" s="3507" t="s">
        <v>4032</v>
      </c>
      <c r="F743" s="3522">
        <v>40.43</v>
      </c>
      <c r="G743" s="3509">
        <v>6.56</v>
      </c>
      <c r="H743" s="3505" t="s">
        <v>3557</v>
      </c>
      <c r="I743" s="3552">
        <v>18</v>
      </c>
    </row>
    <row r="744" spans="1:9" s="3472" customFormat="1">
      <c r="A744" s="3911"/>
      <c r="B744" s="3897"/>
      <c r="C744" s="3897"/>
      <c r="D744" s="3898"/>
      <c r="E744" s="3507" t="s">
        <v>4033</v>
      </c>
      <c r="F744" s="3522">
        <v>40.43</v>
      </c>
      <c r="G744" s="3509">
        <v>6.56</v>
      </c>
      <c r="H744" s="3505" t="s">
        <v>3557</v>
      </c>
      <c r="I744" s="3552">
        <v>18</v>
      </c>
    </row>
    <row r="745" spans="1:9" s="3472" customFormat="1">
      <c r="A745" s="3911"/>
      <c r="B745" s="3897"/>
      <c r="C745" s="3897"/>
      <c r="D745" s="3898"/>
      <c r="E745" s="3507" t="s">
        <v>4034</v>
      </c>
      <c r="F745" s="3522">
        <v>40.43</v>
      </c>
      <c r="G745" s="3509">
        <v>6.56</v>
      </c>
      <c r="H745" s="3505" t="s">
        <v>3557</v>
      </c>
      <c r="I745" s="3552">
        <v>18</v>
      </c>
    </row>
    <row r="746" spans="1:9" s="3472" customFormat="1">
      <c r="A746" s="3911"/>
      <c r="B746" s="3897"/>
      <c r="C746" s="3897"/>
      <c r="D746" s="3898"/>
      <c r="E746" s="3507" t="s">
        <v>4035</v>
      </c>
      <c r="F746" s="3522">
        <v>40.43</v>
      </c>
      <c r="G746" s="3509">
        <v>6.56</v>
      </c>
      <c r="H746" s="3505" t="s">
        <v>3557</v>
      </c>
      <c r="I746" s="3552">
        <v>18</v>
      </c>
    </row>
    <row r="747" spans="1:9" s="3472" customFormat="1">
      <c r="A747" s="3911"/>
      <c r="B747" s="3897"/>
      <c r="C747" s="3897"/>
      <c r="D747" s="3898"/>
      <c r="E747" s="3507" t="s">
        <v>4036</v>
      </c>
      <c r="F747" s="3522">
        <v>40.43</v>
      </c>
      <c r="G747" s="3509">
        <v>6.56</v>
      </c>
      <c r="H747" s="3505" t="s">
        <v>3557</v>
      </c>
      <c r="I747" s="3552">
        <v>18</v>
      </c>
    </row>
    <row r="748" spans="1:9" s="3472" customFormat="1">
      <c r="A748" s="3911"/>
      <c r="B748" s="3897"/>
      <c r="C748" s="3897"/>
      <c r="D748" s="3898"/>
      <c r="E748" s="3507" t="s">
        <v>4037</v>
      </c>
      <c r="F748" s="3522">
        <v>40.43</v>
      </c>
      <c r="G748" s="3509">
        <v>6.56</v>
      </c>
      <c r="H748" s="3505" t="s">
        <v>3557</v>
      </c>
      <c r="I748" s="3552">
        <v>18</v>
      </c>
    </row>
    <row r="749" spans="1:9" s="3472" customFormat="1">
      <c r="A749" s="3911"/>
      <c r="B749" s="3897"/>
      <c r="C749" s="3897"/>
      <c r="D749" s="3898"/>
      <c r="E749" s="3507" t="s">
        <v>4038</v>
      </c>
      <c r="F749" s="3522">
        <v>40.43</v>
      </c>
      <c r="G749" s="3509">
        <v>6.56</v>
      </c>
      <c r="H749" s="3505" t="s">
        <v>3557</v>
      </c>
      <c r="I749" s="3552">
        <v>18</v>
      </c>
    </row>
    <row r="750" spans="1:9" s="3472" customFormat="1">
      <c r="A750" s="3911"/>
      <c r="B750" s="3897"/>
      <c r="C750" s="3897"/>
      <c r="D750" s="3898"/>
      <c r="E750" s="3507" t="s">
        <v>4039</v>
      </c>
      <c r="F750" s="3522">
        <v>40.43</v>
      </c>
      <c r="G750" s="3509">
        <v>6.56</v>
      </c>
      <c r="H750" s="3505" t="s">
        <v>3557</v>
      </c>
      <c r="I750" s="3552">
        <v>18</v>
      </c>
    </row>
    <row r="751" spans="1:9" s="3472" customFormat="1">
      <c r="A751" s="3911"/>
      <c r="B751" s="3897"/>
      <c r="C751" s="3897"/>
      <c r="D751" s="3898"/>
      <c r="E751" s="3507" t="s">
        <v>4040</v>
      </c>
      <c r="F751" s="3522">
        <v>40.43</v>
      </c>
      <c r="G751" s="3509">
        <v>6.56</v>
      </c>
      <c r="H751" s="3505" t="s">
        <v>3557</v>
      </c>
      <c r="I751" s="3552">
        <v>18</v>
      </c>
    </row>
    <row r="752" spans="1:9" s="3472" customFormat="1">
      <c r="A752" s="3911"/>
      <c r="B752" s="3897"/>
      <c r="C752" s="3897"/>
      <c r="D752" s="3898"/>
      <c r="E752" s="3507" t="s">
        <v>4041</v>
      </c>
      <c r="F752" s="3522">
        <v>40.43</v>
      </c>
      <c r="G752" s="3509">
        <v>6.56</v>
      </c>
      <c r="H752" s="3505" t="s">
        <v>3557</v>
      </c>
      <c r="I752" s="3552">
        <v>18</v>
      </c>
    </row>
    <row r="753" spans="1:9" s="3472" customFormat="1">
      <c r="A753" s="3911"/>
      <c r="B753" s="3897"/>
      <c r="C753" s="3897"/>
      <c r="D753" s="3898"/>
      <c r="E753" s="3507" t="s">
        <v>4042</v>
      </c>
      <c r="F753" s="3522">
        <v>40.43</v>
      </c>
      <c r="G753" s="3509">
        <v>6.56</v>
      </c>
      <c r="H753" s="3505" t="s">
        <v>3557</v>
      </c>
      <c r="I753" s="3552">
        <v>18</v>
      </c>
    </row>
    <row r="754" spans="1:9" s="3472" customFormat="1">
      <c r="A754" s="3911"/>
      <c r="B754" s="3897"/>
      <c r="C754" s="3897"/>
      <c r="D754" s="3898"/>
      <c r="E754" s="3507" t="s">
        <v>4043</v>
      </c>
      <c r="F754" s="3522">
        <v>40.43</v>
      </c>
      <c r="G754" s="3509">
        <v>6.56</v>
      </c>
      <c r="H754" s="3505" t="s">
        <v>3557</v>
      </c>
      <c r="I754" s="3552">
        <v>18</v>
      </c>
    </row>
    <row r="755" spans="1:9" s="3472" customFormat="1">
      <c r="A755" s="3911"/>
      <c r="B755" s="3897"/>
      <c r="C755" s="3897"/>
      <c r="D755" s="3898"/>
      <c r="E755" s="3507" t="s">
        <v>4044</v>
      </c>
      <c r="F755" s="3522">
        <v>40.43</v>
      </c>
      <c r="G755" s="3509">
        <v>6.56</v>
      </c>
      <c r="H755" s="3505" t="s">
        <v>3557</v>
      </c>
      <c r="I755" s="3552">
        <v>18</v>
      </c>
    </row>
    <row r="756" spans="1:9" s="3472" customFormat="1">
      <c r="A756" s="3911"/>
      <c r="B756" s="3897"/>
      <c r="C756" s="3897"/>
      <c r="D756" s="3898"/>
      <c r="E756" s="3507" t="s">
        <v>4045</v>
      </c>
      <c r="F756" s="3522">
        <v>40.43</v>
      </c>
      <c r="G756" s="3509">
        <v>6.56</v>
      </c>
      <c r="H756" s="3505" t="s">
        <v>3557</v>
      </c>
      <c r="I756" s="3552">
        <v>18</v>
      </c>
    </row>
    <row r="757" spans="1:9" s="3472" customFormat="1">
      <c r="A757" s="3911"/>
      <c r="B757" s="3897"/>
      <c r="C757" s="3897"/>
      <c r="D757" s="3898"/>
      <c r="E757" s="3507" t="s">
        <v>4046</v>
      </c>
      <c r="F757" s="3522">
        <v>40.43</v>
      </c>
      <c r="G757" s="3509">
        <v>6.56</v>
      </c>
      <c r="H757" s="3505" t="s">
        <v>3557</v>
      </c>
      <c r="I757" s="3552">
        <v>18</v>
      </c>
    </row>
    <row r="758" spans="1:9" s="3472" customFormat="1">
      <c r="A758" s="3911"/>
      <c r="B758" s="3897"/>
      <c r="C758" s="3897"/>
      <c r="D758" s="3898"/>
      <c r="E758" s="3507" t="s">
        <v>4047</v>
      </c>
      <c r="F758" s="3522">
        <v>40.43</v>
      </c>
      <c r="G758" s="3509">
        <v>6.56</v>
      </c>
      <c r="H758" s="3505" t="s">
        <v>3557</v>
      </c>
      <c r="I758" s="3552">
        <v>18</v>
      </c>
    </row>
    <row r="759" spans="1:9" s="3472" customFormat="1">
      <c r="A759" s="3911"/>
      <c r="B759" s="3897"/>
      <c r="C759" s="3897"/>
      <c r="D759" s="3898"/>
      <c r="E759" s="3507" t="s">
        <v>4048</v>
      </c>
      <c r="F759" s="3522">
        <v>40.43</v>
      </c>
      <c r="G759" s="3509">
        <v>6.56</v>
      </c>
      <c r="H759" s="3505" t="s">
        <v>3557</v>
      </c>
      <c r="I759" s="3552">
        <v>18</v>
      </c>
    </row>
    <row r="760" spans="1:9" s="3472" customFormat="1">
      <c r="A760" s="3911"/>
      <c r="B760" s="3897"/>
      <c r="C760" s="3897"/>
      <c r="D760" s="3898"/>
      <c r="E760" s="3507" t="s">
        <v>4049</v>
      </c>
      <c r="F760" s="3522">
        <v>40.43</v>
      </c>
      <c r="G760" s="3509">
        <v>6.56</v>
      </c>
      <c r="H760" s="3505" t="s">
        <v>3557</v>
      </c>
      <c r="I760" s="3552">
        <v>18</v>
      </c>
    </row>
    <row r="761" spans="1:9" s="3472" customFormat="1">
      <c r="A761" s="3911"/>
      <c r="B761" s="3897"/>
      <c r="C761" s="3897"/>
      <c r="D761" s="3898"/>
      <c r="E761" s="3507" t="s">
        <v>4050</v>
      </c>
      <c r="F761" s="3522">
        <v>40.43</v>
      </c>
      <c r="G761" s="3509">
        <v>6.56</v>
      </c>
      <c r="H761" s="3505" t="s">
        <v>3557</v>
      </c>
      <c r="I761" s="3552">
        <v>18</v>
      </c>
    </row>
    <row r="762" spans="1:9" s="3472" customFormat="1">
      <c r="A762" s="3911"/>
      <c r="B762" s="3897"/>
      <c r="C762" s="3897"/>
      <c r="D762" s="3898"/>
      <c r="E762" s="3507" t="s">
        <v>4051</v>
      </c>
      <c r="F762" s="3522">
        <v>40.43</v>
      </c>
      <c r="G762" s="3509">
        <v>6.56</v>
      </c>
      <c r="H762" s="3505" t="s">
        <v>3557</v>
      </c>
      <c r="I762" s="3552">
        <v>18</v>
      </c>
    </row>
    <row r="763" spans="1:9" s="3472" customFormat="1">
      <c r="A763" s="3911"/>
      <c r="B763" s="3897"/>
      <c r="C763" s="3897"/>
      <c r="D763" s="3898"/>
      <c r="E763" s="3507" t="s">
        <v>4052</v>
      </c>
      <c r="F763" s="3522">
        <v>40.43</v>
      </c>
      <c r="G763" s="3509">
        <v>6.56</v>
      </c>
      <c r="H763" s="3505" t="s">
        <v>3557</v>
      </c>
      <c r="I763" s="3552">
        <v>18</v>
      </c>
    </row>
    <row r="764" spans="1:9" s="3472" customFormat="1">
      <c r="A764" s="3911"/>
      <c r="B764" s="3897"/>
      <c r="C764" s="3897"/>
      <c r="D764" s="3898"/>
      <c r="E764" s="3507" t="s">
        <v>4053</v>
      </c>
      <c r="F764" s="3522">
        <v>40.43</v>
      </c>
      <c r="G764" s="3509">
        <v>6.56</v>
      </c>
      <c r="H764" s="3505" t="s">
        <v>3557</v>
      </c>
      <c r="I764" s="3552">
        <v>18</v>
      </c>
    </row>
    <row r="765" spans="1:9" s="3472" customFormat="1">
      <c r="A765" s="3911"/>
      <c r="B765" s="3897"/>
      <c r="C765" s="3897"/>
      <c r="D765" s="3898"/>
      <c r="E765" s="3507" t="s">
        <v>4054</v>
      </c>
      <c r="F765" s="3522">
        <v>40.43</v>
      </c>
      <c r="G765" s="3509">
        <v>6.56</v>
      </c>
      <c r="H765" s="3505" t="s">
        <v>3557</v>
      </c>
      <c r="I765" s="3552">
        <v>18</v>
      </c>
    </row>
    <row r="766" spans="1:9" s="3472" customFormat="1">
      <c r="A766" s="3911"/>
      <c r="B766" s="3897"/>
      <c r="C766" s="3897"/>
      <c r="D766" s="3898"/>
      <c r="E766" s="3507" t="s">
        <v>4055</v>
      </c>
      <c r="F766" s="3522">
        <v>40.43</v>
      </c>
      <c r="G766" s="3509">
        <v>6.56</v>
      </c>
      <c r="H766" s="3505" t="s">
        <v>3557</v>
      </c>
      <c r="I766" s="3552">
        <v>18</v>
      </c>
    </row>
    <row r="767" spans="1:9" s="3472" customFormat="1">
      <c r="A767" s="3911"/>
      <c r="B767" s="3897"/>
      <c r="C767" s="3897"/>
      <c r="D767" s="3898"/>
      <c r="E767" s="3507" t="s">
        <v>4056</v>
      </c>
      <c r="F767" s="3522">
        <v>40.43</v>
      </c>
      <c r="G767" s="3509">
        <v>6.56</v>
      </c>
      <c r="H767" s="3505" t="s">
        <v>3557</v>
      </c>
      <c r="I767" s="3552">
        <v>18</v>
      </c>
    </row>
    <row r="768" spans="1:9" s="3472" customFormat="1">
      <c r="A768" s="3911"/>
      <c r="B768" s="3897"/>
      <c r="C768" s="3897"/>
      <c r="D768" s="3898"/>
      <c r="E768" s="3507" t="s">
        <v>4057</v>
      </c>
      <c r="F768" s="3522">
        <v>40.43</v>
      </c>
      <c r="G768" s="3509">
        <v>6.56</v>
      </c>
      <c r="H768" s="3505" t="s">
        <v>3557</v>
      </c>
      <c r="I768" s="3552">
        <v>18</v>
      </c>
    </row>
    <row r="769" spans="1:9" s="3472" customFormat="1">
      <c r="A769" s="3911"/>
      <c r="B769" s="3897"/>
      <c r="C769" s="3897"/>
      <c r="D769" s="3898"/>
      <c r="E769" s="3507" t="s">
        <v>4058</v>
      </c>
      <c r="F769" s="3522">
        <v>40.43</v>
      </c>
      <c r="G769" s="3509">
        <v>6.56</v>
      </c>
      <c r="H769" s="3505" t="s">
        <v>3557</v>
      </c>
      <c r="I769" s="3552">
        <v>18</v>
      </c>
    </row>
    <row r="770" spans="1:9" s="3472" customFormat="1">
      <c r="A770" s="3911"/>
      <c r="B770" s="3897" t="s">
        <v>3769</v>
      </c>
      <c r="C770" s="3897" t="s">
        <v>3770</v>
      </c>
      <c r="D770" s="3898" t="s">
        <v>3771</v>
      </c>
      <c r="E770" s="3507" t="s">
        <v>4059</v>
      </c>
      <c r="F770" s="3522">
        <v>40.43</v>
      </c>
      <c r="G770" s="3509">
        <v>6.56</v>
      </c>
      <c r="H770" s="3505" t="s">
        <v>3557</v>
      </c>
      <c r="I770" s="3552">
        <v>18</v>
      </c>
    </row>
    <row r="771" spans="1:9" s="3472" customFormat="1">
      <c r="A771" s="3911"/>
      <c r="B771" s="3897"/>
      <c r="C771" s="3897"/>
      <c r="D771" s="3898"/>
      <c r="E771" s="3507" t="s">
        <v>4060</v>
      </c>
      <c r="F771" s="3522">
        <v>40.43</v>
      </c>
      <c r="G771" s="3509">
        <v>6.56</v>
      </c>
      <c r="H771" s="3505" t="s">
        <v>3557</v>
      </c>
      <c r="I771" s="3552">
        <v>18</v>
      </c>
    </row>
    <row r="772" spans="1:9" s="3472" customFormat="1">
      <c r="A772" s="3911"/>
      <c r="B772" s="3897"/>
      <c r="C772" s="3897"/>
      <c r="D772" s="3898"/>
      <c r="E772" s="3507" t="s">
        <v>4061</v>
      </c>
      <c r="F772" s="3522">
        <v>40.43</v>
      </c>
      <c r="G772" s="3509">
        <v>6.56</v>
      </c>
      <c r="H772" s="3505" t="s">
        <v>3557</v>
      </c>
      <c r="I772" s="3552">
        <v>18</v>
      </c>
    </row>
    <row r="773" spans="1:9" s="3472" customFormat="1">
      <c r="A773" s="3911"/>
      <c r="B773" s="3897"/>
      <c r="C773" s="3897"/>
      <c r="D773" s="3898"/>
      <c r="E773" s="3507" t="s">
        <v>4062</v>
      </c>
      <c r="F773" s="3522">
        <v>40.43</v>
      </c>
      <c r="G773" s="3509">
        <v>6.56</v>
      </c>
      <c r="H773" s="3505" t="s">
        <v>3557</v>
      </c>
      <c r="I773" s="3552">
        <v>18</v>
      </c>
    </row>
    <row r="774" spans="1:9" s="3472" customFormat="1">
      <c r="A774" s="3911"/>
      <c r="B774" s="3897"/>
      <c r="C774" s="3897"/>
      <c r="D774" s="3898"/>
      <c r="E774" s="3507" t="s">
        <v>4063</v>
      </c>
      <c r="F774" s="3522">
        <v>40.43</v>
      </c>
      <c r="G774" s="3509">
        <v>6.56</v>
      </c>
      <c r="H774" s="3505" t="s">
        <v>3557</v>
      </c>
      <c r="I774" s="3552">
        <v>18</v>
      </c>
    </row>
    <row r="775" spans="1:9" s="3472" customFormat="1">
      <c r="A775" s="3911"/>
      <c r="B775" s="3897"/>
      <c r="C775" s="3897"/>
      <c r="D775" s="3898"/>
      <c r="E775" s="3507" t="s">
        <v>4064</v>
      </c>
      <c r="F775" s="3522">
        <v>40.43</v>
      </c>
      <c r="G775" s="3509">
        <v>6.56</v>
      </c>
      <c r="H775" s="3505" t="s">
        <v>3557</v>
      </c>
      <c r="I775" s="3552">
        <v>18</v>
      </c>
    </row>
    <row r="776" spans="1:9" s="3472" customFormat="1">
      <c r="A776" s="3911"/>
      <c r="B776" s="3897"/>
      <c r="C776" s="3897"/>
      <c r="D776" s="3898"/>
      <c r="E776" s="3507" t="s">
        <v>4065</v>
      </c>
      <c r="F776" s="3522">
        <v>40.43</v>
      </c>
      <c r="G776" s="3509">
        <v>6.56</v>
      </c>
      <c r="H776" s="3505" t="s">
        <v>3557</v>
      </c>
      <c r="I776" s="3552">
        <v>18</v>
      </c>
    </row>
    <row r="777" spans="1:9" s="3472" customFormat="1">
      <c r="A777" s="3911"/>
      <c r="B777" s="3897"/>
      <c r="C777" s="3897"/>
      <c r="D777" s="3898"/>
      <c r="E777" s="3507" t="s">
        <v>4381</v>
      </c>
      <c r="F777" s="3522">
        <v>40.43</v>
      </c>
      <c r="G777" s="3509">
        <v>6.56</v>
      </c>
      <c r="H777" s="3505" t="s">
        <v>3557</v>
      </c>
      <c r="I777" s="3552">
        <v>18</v>
      </c>
    </row>
    <row r="778" spans="1:9" s="3472" customFormat="1">
      <c r="A778" s="3911"/>
      <c r="B778" s="3897"/>
      <c r="C778" s="3897"/>
      <c r="D778" s="3898"/>
      <c r="E778" s="3507" t="s">
        <v>4066</v>
      </c>
      <c r="F778" s="3522">
        <v>40.43</v>
      </c>
      <c r="G778" s="3509">
        <v>6.56</v>
      </c>
      <c r="H778" s="3505" t="s">
        <v>3557</v>
      </c>
      <c r="I778" s="3552">
        <v>18</v>
      </c>
    </row>
    <row r="779" spans="1:9" s="3472" customFormat="1">
      <c r="A779" s="3911"/>
      <c r="B779" s="3897"/>
      <c r="C779" s="3897"/>
      <c r="D779" s="3898"/>
      <c r="E779" s="3507" t="s">
        <v>4067</v>
      </c>
      <c r="F779" s="3522">
        <v>40.43</v>
      </c>
      <c r="G779" s="3509">
        <v>6.56</v>
      </c>
      <c r="H779" s="3505" t="s">
        <v>3557</v>
      </c>
      <c r="I779" s="3552">
        <v>18</v>
      </c>
    </row>
    <row r="780" spans="1:9" s="3472" customFormat="1">
      <c r="A780" s="3911"/>
      <c r="B780" s="3897"/>
      <c r="C780" s="3897"/>
      <c r="D780" s="3898"/>
      <c r="E780" s="3507" t="s">
        <v>4068</v>
      </c>
      <c r="F780" s="3522">
        <v>40.43</v>
      </c>
      <c r="G780" s="3509">
        <v>6.56</v>
      </c>
      <c r="H780" s="3505" t="s">
        <v>3557</v>
      </c>
      <c r="I780" s="3552">
        <v>18</v>
      </c>
    </row>
    <row r="781" spans="1:9" s="3472" customFormat="1">
      <c r="A781" s="3911"/>
      <c r="B781" s="3897"/>
      <c r="C781" s="3897"/>
      <c r="D781" s="3898"/>
      <c r="E781" s="3507" t="s">
        <v>4069</v>
      </c>
      <c r="F781" s="3522">
        <v>40.43</v>
      </c>
      <c r="G781" s="3509">
        <v>6.56</v>
      </c>
      <c r="H781" s="3505" t="s">
        <v>3557</v>
      </c>
      <c r="I781" s="3552">
        <v>18</v>
      </c>
    </row>
    <row r="782" spans="1:9" s="3472" customFormat="1">
      <c r="A782" s="3911"/>
      <c r="B782" s="3897"/>
      <c r="C782" s="3897"/>
      <c r="D782" s="3898"/>
      <c r="E782" s="3507" t="s">
        <v>4070</v>
      </c>
      <c r="F782" s="3522">
        <v>40.43</v>
      </c>
      <c r="G782" s="3509">
        <v>6.56</v>
      </c>
      <c r="H782" s="3505" t="s">
        <v>3557</v>
      </c>
      <c r="I782" s="3552">
        <v>18</v>
      </c>
    </row>
    <row r="783" spans="1:9" s="3472" customFormat="1">
      <c r="A783" s="3911"/>
      <c r="B783" s="3897"/>
      <c r="C783" s="3897"/>
      <c r="D783" s="3898"/>
      <c r="E783" s="3507" t="s">
        <v>4382</v>
      </c>
      <c r="F783" s="3522">
        <v>40.43</v>
      </c>
      <c r="G783" s="3509">
        <v>6.56</v>
      </c>
      <c r="H783" s="3505" t="s">
        <v>3557</v>
      </c>
      <c r="I783" s="3552">
        <v>18</v>
      </c>
    </row>
    <row r="784" spans="1:9" s="3472" customFormat="1">
      <c r="A784" s="3911"/>
      <c r="B784" s="3897"/>
      <c r="C784" s="3897"/>
      <c r="D784" s="3898"/>
      <c r="E784" s="3507" t="s">
        <v>4383</v>
      </c>
      <c r="F784" s="3522">
        <v>40.43</v>
      </c>
      <c r="G784" s="3509">
        <v>6.56</v>
      </c>
      <c r="H784" s="3505" t="s">
        <v>3557</v>
      </c>
      <c r="I784" s="3552">
        <v>18</v>
      </c>
    </row>
    <row r="785" spans="1:9" s="3472" customFormat="1">
      <c r="A785" s="3911"/>
      <c r="B785" s="3897"/>
      <c r="C785" s="3897"/>
      <c r="D785" s="3898"/>
      <c r="E785" s="3507" t="s">
        <v>4384</v>
      </c>
      <c r="F785" s="3522">
        <v>40.43</v>
      </c>
      <c r="G785" s="3509">
        <v>6.56</v>
      </c>
      <c r="H785" s="3505" t="s">
        <v>3557</v>
      </c>
      <c r="I785" s="3552">
        <v>18</v>
      </c>
    </row>
    <row r="786" spans="1:9" s="3472" customFormat="1">
      <c r="A786" s="3911"/>
      <c r="B786" s="3897"/>
      <c r="C786" s="3897"/>
      <c r="D786" s="3898"/>
      <c r="E786" s="3507" t="s">
        <v>4385</v>
      </c>
      <c r="F786" s="3522">
        <v>40.43</v>
      </c>
      <c r="G786" s="3509">
        <v>6.56</v>
      </c>
      <c r="H786" s="3505" t="s">
        <v>3557</v>
      </c>
      <c r="I786" s="3552">
        <v>18</v>
      </c>
    </row>
    <row r="787" spans="1:9" s="3472" customFormat="1">
      <c r="A787" s="3911"/>
      <c r="B787" s="3897"/>
      <c r="C787" s="3897"/>
      <c r="D787" s="3898"/>
      <c r="E787" s="3507" t="s">
        <v>4386</v>
      </c>
      <c r="F787" s="3522">
        <v>40.43</v>
      </c>
      <c r="G787" s="3509">
        <v>6.56</v>
      </c>
      <c r="H787" s="3505" t="s">
        <v>3557</v>
      </c>
      <c r="I787" s="3552">
        <v>18</v>
      </c>
    </row>
    <row r="788" spans="1:9" s="3472" customFormat="1">
      <c r="A788" s="3911"/>
      <c r="B788" s="3897"/>
      <c r="C788" s="3897"/>
      <c r="D788" s="3898"/>
      <c r="E788" s="3507" t="s">
        <v>4071</v>
      </c>
      <c r="F788" s="3522">
        <v>40.43</v>
      </c>
      <c r="G788" s="3509">
        <v>6.56</v>
      </c>
      <c r="H788" s="3505" t="s">
        <v>3557</v>
      </c>
      <c r="I788" s="3552">
        <v>18</v>
      </c>
    </row>
    <row r="789" spans="1:9" s="3472" customFormat="1">
      <c r="A789" s="3911"/>
      <c r="B789" s="3897"/>
      <c r="C789" s="3897"/>
      <c r="D789" s="3898"/>
      <c r="E789" s="3507" t="s">
        <v>4387</v>
      </c>
      <c r="F789" s="3522">
        <v>40.43</v>
      </c>
      <c r="G789" s="3509">
        <v>6.56</v>
      </c>
      <c r="H789" s="3505" t="s">
        <v>3557</v>
      </c>
      <c r="I789" s="3552">
        <v>18</v>
      </c>
    </row>
    <row r="790" spans="1:9" s="3472" customFormat="1">
      <c r="A790" s="3911"/>
      <c r="B790" s="3897"/>
      <c r="C790" s="3897"/>
      <c r="D790" s="3898"/>
      <c r="E790" s="3507" t="s">
        <v>4388</v>
      </c>
      <c r="F790" s="3522">
        <v>40.43</v>
      </c>
      <c r="G790" s="3509">
        <v>6.56</v>
      </c>
      <c r="H790" s="3505" t="s">
        <v>3557</v>
      </c>
      <c r="I790" s="3552">
        <v>18</v>
      </c>
    </row>
    <row r="791" spans="1:9" s="3472" customFormat="1">
      <c r="A791" s="3911"/>
      <c r="B791" s="3897"/>
      <c r="C791" s="3897"/>
      <c r="D791" s="3898"/>
      <c r="E791" s="3507" t="s">
        <v>4072</v>
      </c>
      <c r="F791" s="3522">
        <v>40.43</v>
      </c>
      <c r="G791" s="3509">
        <v>6.56</v>
      </c>
      <c r="H791" s="3505" t="s">
        <v>3557</v>
      </c>
      <c r="I791" s="3552">
        <v>18</v>
      </c>
    </row>
    <row r="792" spans="1:9" s="3472" customFormat="1">
      <c r="A792" s="3911"/>
      <c r="B792" s="3897"/>
      <c r="C792" s="3897"/>
      <c r="D792" s="3898"/>
      <c r="E792" s="3507" t="s">
        <v>4073</v>
      </c>
      <c r="F792" s="3522">
        <v>40.43</v>
      </c>
      <c r="G792" s="3509">
        <v>6.56</v>
      </c>
      <c r="H792" s="3505" t="s">
        <v>3557</v>
      </c>
      <c r="I792" s="3552">
        <v>18</v>
      </c>
    </row>
    <row r="793" spans="1:9" s="3472" customFormat="1">
      <c r="A793" s="3911"/>
      <c r="B793" s="3897"/>
      <c r="C793" s="3897"/>
      <c r="D793" s="3898"/>
      <c r="E793" s="3507" t="s">
        <v>4074</v>
      </c>
      <c r="F793" s="3522">
        <v>40.43</v>
      </c>
      <c r="G793" s="3509">
        <v>6.56</v>
      </c>
      <c r="H793" s="3505" t="s">
        <v>3557</v>
      </c>
      <c r="I793" s="3552">
        <v>18</v>
      </c>
    </row>
    <row r="794" spans="1:9" s="3472" customFormat="1">
      <c r="A794" s="3911"/>
      <c r="B794" s="3897"/>
      <c r="C794" s="3897"/>
      <c r="D794" s="3898"/>
      <c r="E794" s="3507" t="s">
        <v>4389</v>
      </c>
      <c r="F794" s="3522">
        <v>40.43</v>
      </c>
      <c r="G794" s="3509">
        <v>6.56</v>
      </c>
      <c r="H794" s="3505" t="s">
        <v>3557</v>
      </c>
      <c r="I794" s="3552">
        <v>18</v>
      </c>
    </row>
    <row r="795" spans="1:9" s="3472" customFormat="1">
      <c r="A795" s="3911"/>
      <c r="B795" s="3897"/>
      <c r="C795" s="3897"/>
      <c r="D795" s="3898"/>
      <c r="E795" s="3507" t="s">
        <v>4075</v>
      </c>
      <c r="F795" s="3522">
        <v>40.43</v>
      </c>
      <c r="G795" s="3509">
        <v>6.56</v>
      </c>
      <c r="H795" s="3505" t="s">
        <v>3557</v>
      </c>
      <c r="I795" s="3552">
        <v>18</v>
      </c>
    </row>
    <row r="796" spans="1:9" s="3472" customFormat="1">
      <c r="A796" s="3911"/>
      <c r="B796" s="3897"/>
      <c r="C796" s="3897"/>
      <c r="D796" s="3898"/>
      <c r="E796" s="3507" t="s">
        <v>4076</v>
      </c>
      <c r="F796" s="3522">
        <v>40.43</v>
      </c>
      <c r="G796" s="3509">
        <v>6.56</v>
      </c>
      <c r="H796" s="3505" t="s">
        <v>3557</v>
      </c>
      <c r="I796" s="3552">
        <v>18</v>
      </c>
    </row>
    <row r="797" spans="1:9" s="3472" customFormat="1">
      <c r="A797" s="3911"/>
      <c r="B797" s="3897"/>
      <c r="C797" s="3897"/>
      <c r="D797" s="3898"/>
      <c r="E797" s="3507" t="s">
        <v>4077</v>
      </c>
      <c r="F797" s="3522">
        <v>40.43</v>
      </c>
      <c r="G797" s="3509">
        <v>6.56</v>
      </c>
      <c r="H797" s="3505" t="s">
        <v>3557</v>
      </c>
      <c r="I797" s="3552">
        <v>18</v>
      </c>
    </row>
    <row r="798" spans="1:9" s="3472" customFormat="1">
      <c r="A798" s="3911"/>
      <c r="B798" s="3897"/>
      <c r="C798" s="3897"/>
      <c r="D798" s="3898"/>
      <c r="E798" s="3507" t="s">
        <v>4078</v>
      </c>
      <c r="F798" s="3522">
        <v>40.43</v>
      </c>
      <c r="G798" s="3509">
        <v>6.56</v>
      </c>
      <c r="H798" s="3505" t="s">
        <v>3557</v>
      </c>
      <c r="I798" s="3552">
        <v>18</v>
      </c>
    </row>
    <row r="799" spans="1:9" s="3472" customFormat="1">
      <c r="A799" s="3911"/>
      <c r="B799" s="3897"/>
      <c r="C799" s="3897"/>
      <c r="D799" s="3898"/>
      <c r="E799" s="3507" t="s">
        <v>4079</v>
      </c>
      <c r="F799" s="3522">
        <v>40.43</v>
      </c>
      <c r="G799" s="3509">
        <v>6.56</v>
      </c>
      <c r="H799" s="3505" t="s">
        <v>3557</v>
      </c>
      <c r="I799" s="3552">
        <v>18</v>
      </c>
    </row>
    <row r="800" spans="1:9" s="3472" customFormat="1">
      <c r="A800" s="3911"/>
      <c r="B800" s="3897"/>
      <c r="C800" s="3897"/>
      <c r="D800" s="3898"/>
      <c r="E800" s="3507" t="s">
        <v>4080</v>
      </c>
      <c r="F800" s="3522">
        <v>40.43</v>
      </c>
      <c r="G800" s="3509">
        <v>6.56</v>
      </c>
      <c r="H800" s="3505" t="s">
        <v>3557</v>
      </c>
      <c r="I800" s="3552">
        <v>18</v>
      </c>
    </row>
    <row r="801" spans="1:9" s="3472" customFormat="1">
      <c r="A801" s="3911"/>
      <c r="B801" s="3897"/>
      <c r="C801" s="3897"/>
      <c r="D801" s="3898"/>
      <c r="E801" s="3507" t="s">
        <v>4081</v>
      </c>
      <c r="F801" s="3522">
        <v>40.43</v>
      </c>
      <c r="G801" s="3509">
        <v>6.56</v>
      </c>
      <c r="H801" s="3505" t="s">
        <v>3557</v>
      </c>
      <c r="I801" s="3552">
        <v>18</v>
      </c>
    </row>
    <row r="802" spans="1:9" s="3472" customFormat="1">
      <c r="A802" s="3911"/>
      <c r="B802" s="3897"/>
      <c r="C802" s="3897"/>
      <c r="D802" s="3898"/>
      <c r="E802" s="3507" t="s">
        <v>4082</v>
      </c>
      <c r="F802" s="3522">
        <v>40.43</v>
      </c>
      <c r="G802" s="3509">
        <v>6.56</v>
      </c>
      <c r="H802" s="3505" t="s">
        <v>3557</v>
      </c>
      <c r="I802" s="3552">
        <v>18</v>
      </c>
    </row>
    <row r="803" spans="1:9" s="3472" customFormat="1">
      <c r="A803" s="3911"/>
      <c r="B803" s="3897"/>
      <c r="C803" s="3897"/>
      <c r="D803" s="3898"/>
      <c r="E803" s="3507" t="s">
        <v>4083</v>
      </c>
      <c r="F803" s="3522">
        <v>40.43</v>
      </c>
      <c r="G803" s="3509">
        <v>6.56</v>
      </c>
      <c r="H803" s="3505" t="s">
        <v>3557</v>
      </c>
      <c r="I803" s="3552">
        <v>18</v>
      </c>
    </row>
    <row r="804" spans="1:9" s="3472" customFormat="1">
      <c r="A804" s="3911"/>
      <c r="B804" s="3897"/>
      <c r="C804" s="3897"/>
      <c r="D804" s="3898"/>
      <c r="E804" s="3507" t="s">
        <v>4084</v>
      </c>
      <c r="F804" s="3522">
        <v>40.43</v>
      </c>
      <c r="G804" s="3509">
        <v>6.56</v>
      </c>
      <c r="H804" s="3505" t="s">
        <v>3557</v>
      </c>
      <c r="I804" s="3552">
        <v>18</v>
      </c>
    </row>
    <row r="805" spans="1:9" s="3472" customFormat="1">
      <c r="A805" s="3911"/>
      <c r="B805" s="3897"/>
      <c r="C805" s="3897"/>
      <c r="D805" s="3898"/>
      <c r="E805" s="3507" t="s">
        <v>4085</v>
      </c>
      <c r="F805" s="3522">
        <v>40.43</v>
      </c>
      <c r="G805" s="3509">
        <v>6.56</v>
      </c>
      <c r="H805" s="3505" t="s">
        <v>3557</v>
      </c>
      <c r="I805" s="3552">
        <v>18</v>
      </c>
    </row>
    <row r="806" spans="1:9" s="3472" customFormat="1">
      <c r="A806" s="3911"/>
      <c r="B806" s="3897"/>
      <c r="C806" s="3897"/>
      <c r="D806" s="3898"/>
      <c r="E806" s="3507" t="s">
        <v>4086</v>
      </c>
      <c r="F806" s="3522">
        <v>80.86</v>
      </c>
      <c r="G806" s="3509">
        <v>13.12</v>
      </c>
      <c r="H806" s="3505" t="s">
        <v>3557</v>
      </c>
      <c r="I806" s="3552">
        <v>36</v>
      </c>
    </row>
    <row r="807" spans="1:9" s="3472" customFormat="1">
      <c r="A807" s="3911"/>
      <c r="B807" s="3897" t="s">
        <v>3769</v>
      </c>
      <c r="C807" s="3897" t="s">
        <v>3770</v>
      </c>
      <c r="D807" s="3898" t="s">
        <v>3771</v>
      </c>
      <c r="E807" s="3507" t="s">
        <v>4087</v>
      </c>
      <c r="F807" s="3522">
        <v>80.86</v>
      </c>
      <c r="G807" s="3509">
        <v>13.12</v>
      </c>
      <c r="H807" s="3505" t="s">
        <v>3557</v>
      </c>
      <c r="I807" s="3552">
        <v>36</v>
      </c>
    </row>
    <row r="808" spans="1:9" s="3472" customFormat="1">
      <c r="A808" s="3911"/>
      <c r="B808" s="3897"/>
      <c r="C808" s="3897"/>
      <c r="D808" s="3898"/>
      <c r="E808" s="3507" t="s">
        <v>4088</v>
      </c>
      <c r="F808" s="3522">
        <v>80.86</v>
      </c>
      <c r="G808" s="3509">
        <v>13.12</v>
      </c>
      <c r="H808" s="3505" t="s">
        <v>3557</v>
      </c>
      <c r="I808" s="3552">
        <v>36</v>
      </c>
    </row>
    <row r="809" spans="1:9" s="3472" customFormat="1">
      <c r="A809" s="3911"/>
      <c r="B809" s="3897"/>
      <c r="C809" s="3897"/>
      <c r="D809" s="3898"/>
      <c r="E809" s="3507" t="s">
        <v>4089</v>
      </c>
      <c r="F809" s="3522">
        <v>80.86</v>
      </c>
      <c r="G809" s="3509">
        <v>13.12</v>
      </c>
      <c r="H809" s="3505" t="s">
        <v>3557</v>
      </c>
      <c r="I809" s="3552">
        <v>36</v>
      </c>
    </row>
    <row r="810" spans="1:9" s="3472" customFormat="1">
      <c r="A810" s="3911"/>
      <c r="B810" s="3897"/>
      <c r="C810" s="3897"/>
      <c r="D810" s="3898"/>
      <c r="E810" s="3507" t="s">
        <v>4090</v>
      </c>
      <c r="F810" s="3522">
        <v>80.86</v>
      </c>
      <c r="G810" s="3509">
        <v>13.12</v>
      </c>
      <c r="H810" s="3505" t="s">
        <v>3557</v>
      </c>
      <c r="I810" s="3552">
        <v>36</v>
      </c>
    </row>
    <row r="811" spans="1:9" s="3472" customFormat="1">
      <c r="A811" s="3911"/>
      <c r="B811" s="3897"/>
      <c r="C811" s="3897"/>
      <c r="D811" s="3898"/>
      <c r="E811" s="3507" t="s">
        <v>4091</v>
      </c>
      <c r="F811" s="3522">
        <v>40.43</v>
      </c>
      <c r="G811" s="3509">
        <v>6.56</v>
      </c>
      <c r="H811" s="3505" t="s">
        <v>3557</v>
      </c>
      <c r="I811" s="3552">
        <v>18</v>
      </c>
    </row>
    <row r="812" spans="1:9" s="3472" customFormat="1">
      <c r="A812" s="3911"/>
      <c r="B812" s="3897"/>
      <c r="C812" s="3897"/>
      <c r="D812" s="3898"/>
      <c r="E812" s="3507" t="s">
        <v>4092</v>
      </c>
      <c r="F812" s="3522">
        <v>40.43</v>
      </c>
      <c r="G812" s="3509">
        <v>6.56</v>
      </c>
      <c r="H812" s="3505" t="s">
        <v>3557</v>
      </c>
      <c r="I812" s="3552">
        <v>18</v>
      </c>
    </row>
    <row r="813" spans="1:9" s="3472" customFormat="1">
      <c r="A813" s="3911"/>
      <c r="B813" s="3897"/>
      <c r="C813" s="3897"/>
      <c r="D813" s="3898"/>
      <c r="E813" s="3507" t="s">
        <v>4093</v>
      </c>
      <c r="F813" s="3522">
        <v>40.43</v>
      </c>
      <c r="G813" s="3509">
        <v>6.56</v>
      </c>
      <c r="H813" s="3505" t="s">
        <v>3557</v>
      </c>
      <c r="I813" s="3552">
        <v>18</v>
      </c>
    </row>
    <row r="814" spans="1:9" s="3472" customFormat="1">
      <c r="A814" s="3911"/>
      <c r="B814" s="3897"/>
      <c r="C814" s="3897"/>
      <c r="D814" s="3898"/>
      <c r="E814" s="3507" t="s">
        <v>4094</v>
      </c>
      <c r="F814" s="3522">
        <v>40.43</v>
      </c>
      <c r="G814" s="3509">
        <v>6.56</v>
      </c>
      <c r="H814" s="3505" t="s">
        <v>3557</v>
      </c>
      <c r="I814" s="3552">
        <v>18</v>
      </c>
    </row>
    <row r="815" spans="1:9" s="3472" customFormat="1">
      <c r="A815" s="3911"/>
      <c r="B815" s="3897"/>
      <c r="C815" s="3897"/>
      <c r="D815" s="3898"/>
      <c r="E815" s="3507" t="s">
        <v>4095</v>
      </c>
      <c r="F815" s="3522">
        <v>40.43</v>
      </c>
      <c r="G815" s="3509">
        <v>6.56</v>
      </c>
      <c r="H815" s="3505" t="s">
        <v>3557</v>
      </c>
      <c r="I815" s="3552">
        <v>18</v>
      </c>
    </row>
    <row r="816" spans="1:9" s="3472" customFormat="1">
      <c r="A816" s="3911"/>
      <c r="B816" s="3897"/>
      <c r="C816" s="3897"/>
      <c r="D816" s="3898"/>
      <c r="E816" s="3507" t="s">
        <v>4096</v>
      </c>
      <c r="F816" s="3522">
        <v>40.43</v>
      </c>
      <c r="G816" s="3509">
        <v>6.56</v>
      </c>
      <c r="H816" s="3505" t="s">
        <v>3557</v>
      </c>
      <c r="I816" s="3552">
        <v>18</v>
      </c>
    </row>
    <row r="817" spans="1:9" s="3472" customFormat="1">
      <c r="A817" s="3911"/>
      <c r="B817" s="3897"/>
      <c r="C817" s="3897"/>
      <c r="D817" s="3898"/>
      <c r="E817" s="3507" t="s">
        <v>4097</v>
      </c>
      <c r="F817" s="3522">
        <v>80.86</v>
      </c>
      <c r="G817" s="3509">
        <v>13.12</v>
      </c>
      <c r="H817" s="3505" t="s">
        <v>3557</v>
      </c>
      <c r="I817" s="3552">
        <v>36</v>
      </c>
    </row>
    <row r="818" spans="1:9" s="3472" customFormat="1">
      <c r="A818" s="3911"/>
      <c r="B818" s="3897"/>
      <c r="C818" s="3897"/>
      <c r="D818" s="3898"/>
      <c r="E818" s="3507" t="s">
        <v>4098</v>
      </c>
      <c r="F818" s="3522">
        <v>80.86</v>
      </c>
      <c r="G818" s="3509">
        <v>13.12</v>
      </c>
      <c r="H818" s="3505" t="s">
        <v>3557</v>
      </c>
      <c r="I818" s="3552">
        <v>36</v>
      </c>
    </row>
    <row r="819" spans="1:9" s="3472" customFormat="1">
      <c r="A819" s="3911"/>
      <c r="B819" s="3897"/>
      <c r="C819" s="3897"/>
      <c r="D819" s="3898"/>
      <c r="E819" s="3507" t="s">
        <v>4099</v>
      </c>
      <c r="F819" s="3522">
        <v>40.43</v>
      </c>
      <c r="G819" s="3509">
        <v>6.56</v>
      </c>
      <c r="H819" s="3505" t="s">
        <v>3557</v>
      </c>
      <c r="I819" s="3552">
        <v>18</v>
      </c>
    </row>
    <row r="820" spans="1:9" s="3472" customFormat="1">
      <c r="A820" s="3911"/>
      <c r="B820" s="3897"/>
      <c r="C820" s="3897"/>
      <c r="D820" s="3898"/>
      <c r="E820" s="3507" t="s">
        <v>4100</v>
      </c>
      <c r="F820" s="3522">
        <v>40.43</v>
      </c>
      <c r="G820" s="3509">
        <v>6.56</v>
      </c>
      <c r="H820" s="3505" t="s">
        <v>3557</v>
      </c>
      <c r="I820" s="3552">
        <v>18</v>
      </c>
    </row>
    <row r="821" spans="1:9" s="3472" customFormat="1">
      <c r="A821" s="3911"/>
      <c r="B821" s="3897"/>
      <c r="C821" s="3897"/>
      <c r="D821" s="3898"/>
      <c r="E821" s="3507" t="s">
        <v>4101</v>
      </c>
      <c r="F821" s="3522">
        <v>40.43</v>
      </c>
      <c r="G821" s="3509">
        <v>6.56</v>
      </c>
      <c r="H821" s="3505" t="s">
        <v>3557</v>
      </c>
      <c r="I821" s="3552">
        <v>18</v>
      </c>
    </row>
    <row r="822" spans="1:9" s="3472" customFormat="1">
      <c r="A822" s="3911"/>
      <c r="B822" s="3897"/>
      <c r="C822" s="3897"/>
      <c r="D822" s="3898"/>
      <c r="E822" s="3507" t="s">
        <v>4102</v>
      </c>
      <c r="F822" s="3522">
        <v>40.43</v>
      </c>
      <c r="G822" s="3509">
        <v>6.56</v>
      </c>
      <c r="H822" s="3505" t="s">
        <v>3557</v>
      </c>
      <c r="I822" s="3552">
        <v>18</v>
      </c>
    </row>
    <row r="823" spans="1:9" s="3472" customFormat="1">
      <c r="A823" s="3911"/>
      <c r="B823" s="3897"/>
      <c r="C823" s="3897"/>
      <c r="D823" s="3898"/>
      <c r="E823" s="3507" t="s">
        <v>4103</v>
      </c>
      <c r="F823" s="3522">
        <v>80.86</v>
      </c>
      <c r="G823" s="3509">
        <v>13.12</v>
      </c>
      <c r="H823" s="3505" t="s">
        <v>3557</v>
      </c>
      <c r="I823" s="3552">
        <v>36</v>
      </c>
    </row>
    <row r="824" spans="1:9" s="3472" customFormat="1">
      <c r="A824" s="3911"/>
      <c r="B824" s="3897"/>
      <c r="C824" s="3897"/>
      <c r="D824" s="3898"/>
      <c r="E824" s="3507" t="s">
        <v>4104</v>
      </c>
      <c r="F824" s="3522">
        <v>80.86</v>
      </c>
      <c r="G824" s="3509">
        <v>13.12</v>
      </c>
      <c r="H824" s="3505" t="s">
        <v>3557</v>
      </c>
      <c r="I824" s="3552">
        <v>36</v>
      </c>
    </row>
    <row r="825" spans="1:9" s="3472" customFormat="1">
      <c r="A825" s="3911"/>
      <c r="B825" s="3897"/>
      <c r="C825" s="3897"/>
      <c r="D825" s="3898"/>
      <c r="E825" s="3507" t="s">
        <v>4105</v>
      </c>
      <c r="F825" s="3522">
        <v>40.43</v>
      </c>
      <c r="G825" s="3509">
        <v>6.56</v>
      </c>
      <c r="H825" s="3505" t="s">
        <v>3557</v>
      </c>
      <c r="I825" s="3552">
        <v>18</v>
      </c>
    </row>
    <row r="826" spans="1:9" s="3472" customFormat="1">
      <c r="A826" s="3911"/>
      <c r="B826" s="3897"/>
      <c r="C826" s="3897"/>
      <c r="D826" s="3898"/>
      <c r="E826" s="3507" t="s">
        <v>4106</v>
      </c>
      <c r="F826" s="3522">
        <v>40.43</v>
      </c>
      <c r="G826" s="3509">
        <v>6.56</v>
      </c>
      <c r="H826" s="3505" t="s">
        <v>3557</v>
      </c>
      <c r="I826" s="3552">
        <v>18</v>
      </c>
    </row>
    <row r="827" spans="1:9" s="3472" customFormat="1">
      <c r="A827" s="3911"/>
      <c r="B827" s="3897"/>
      <c r="C827" s="3897"/>
      <c r="D827" s="3898"/>
      <c r="E827" s="3507" t="s">
        <v>4107</v>
      </c>
      <c r="F827" s="3522">
        <v>40.43</v>
      </c>
      <c r="G827" s="3509">
        <v>6.56</v>
      </c>
      <c r="H827" s="3505" t="s">
        <v>3557</v>
      </c>
      <c r="I827" s="3552">
        <v>18</v>
      </c>
    </row>
    <row r="828" spans="1:9" s="3472" customFormat="1">
      <c r="A828" s="3911"/>
      <c r="B828" s="3897"/>
      <c r="C828" s="3897"/>
      <c r="D828" s="3898"/>
      <c r="E828" s="3507" t="s">
        <v>4108</v>
      </c>
      <c r="F828" s="3522">
        <v>40.43</v>
      </c>
      <c r="G828" s="3509">
        <v>6.56</v>
      </c>
      <c r="H828" s="3505" t="s">
        <v>3557</v>
      </c>
      <c r="I828" s="3552">
        <v>18</v>
      </c>
    </row>
    <row r="829" spans="1:9" s="3472" customFormat="1">
      <c r="A829" s="3911"/>
      <c r="B829" s="3897"/>
      <c r="C829" s="3897"/>
      <c r="D829" s="3898"/>
      <c r="E829" s="3507" t="s">
        <v>4109</v>
      </c>
      <c r="F829" s="3522">
        <v>40.43</v>
      </c>
      <c r="G829" s="3509">
        <v>6.56</v>
      </c>
      <c r="H829" s="3505" t="s">
        <v>3557</v>
      </c>
      <c r="I829" s="3552">
        <v>18</v>
      </c>
    </row>
    <row r="830" spans="1:9" s="3472" customFormat="1">
      <c r="A830" s="3911"/>
      <c r="B830" s="3897"/>
      <c r="C830" s="3897"/>
      <c r="D830" s="3898"/>
      <c r="E830" s="3507" t="s">
        <v>4110</v>
      </c>
      <c r="F830" s="3522">
        <v>40.43</v>
      </c>
      <c r="G830" s="3509">
        <v>6.56</v>
      </c>
      <c r="H830" s="3505" t="s">
        <v>3557</v>
      </c>
      <c r="I830" s="3552">
        <v>18</v>
      </c>
    </row>
    <row r="831" spans="1:9" s="3472" customFormat="1">
      <c r="A831" s="3911"/>
      <c r="B831" s="3897"/>
      <c r="C831" s="3897"/>
      <c r="D831" s="3898"/>
      <c r="E831" s="3507" t="s">
        <v>4111</v>
      </c>
      <c r="F831" s="3522">
        <v>40.43</v>
      </c>
      <c r="G831" s="3509">
        <v>6.56</v>
      </c>
      <c r="H831" s="3505" t="s">
        <v>3557</v>
      </c>
      <c r="I831" s="3552">
        <v>18</v>
      </c>
    </row>
    <row r="832" spans="1:9" s="3472" customFormat="1">
      <c r="A832" s="3911"/>
      <c r="B832" s="3897"/>
      <c r="C832" s="3897"/>
      <c r="D832" s="3898"/>
      <c r="E832" s="3507" t="s">
        <v>4390</v>
      </c>
      <c r="F832" s="3522">
        <v>40.43</v>
      </c>
      <c r="G832" s="3509">
        <v>6.56</v>
      </c>
      <c r="H832" s="3505" t="s">
        <v>3557</v>
      </c>
      <c r="I832" s="3552">
        <v>18</v>
      </c>
    </row>
    <row r="833" spans="1:9" s="3472" customFormat="1">
      <c r="A833" s="3911"/>
      <c r="B833" s="3897"/>
      <c r="C833" s="3897"/>
      <c r="D833" s="3898"/>
      <c r="E833" s="3507" t="s">
        <v>4112</v>
      </c>
      <c r="F833" s="3522">
        <v>40.43</v>
      </c>
      <c r="G833" s="3509">
        <v>6.56</v>
      </c>
      <c r="H833" s="3505" t="s">
        <v>3557</v>
      </c>
      <c r="I833" s="3552">
        <v>18</v>
      </c>
    </row>
    <row r="834" spans="1:9" s="3472" customFormat="1">
      <c r="A834" s="3911"/>
      <c r="B834" s="3897"/>
      <c r="C834" s="3897"/>
      <c r="D834" s="3898"/>
      <c r="E834" s="3507" t="s">
        <v>4113</v>
      </c>
      <c r="F834" s="3522">
        <v>40.43</v>
      </c>
      <c r="G834" s="3509">
        <v>6.56</v>
      </c>
      <c r="H834" s="3505" t="s">
        <v>3557</v>
      </c>
      <c r="I834" s="3552">
        <v>18</v>
      </c>
    </row>
    <row r="835" spans="1:9" s="3472" customFormat="1">
      <c r="A835" s="3911"/>
      <c r="B835" s="3897"/>
      <c r="C835" s="3897"/>
      <c r="D835" s="3898"/>
      <c r="E835" s="3507" t="s">
        <v>4391</v>
      </c>
      <c r="F835" s="3522">
        <v>40.43</v>
      </c>
      <c r="G835" s="3509">
        <v>6.56</v>
      </c>
      <c r="H835" s="3505" t="s">
        <v>3557</v>
      </c>
      <c r="I835" s="3552">
        <v>18</v>
      </c>
    </row>
    <row r="836" spans="1:9" s="3472" customFormat="1">
      <c r="A836" s="3911"/>
      <c r="B836" s="3897"/>
      <c r="C836" s="3897"/>
      <c r="D836" s="3898"/>
      <c r="E836" s="3507" t="s">
        <v>4392</v>
      </c>
      <c r="F836" s="3522">
        <v>40.43</v>
      </c>
      <c r="G836" s="3509">
        <v>6.56</v>
      </c>
      <c r="H836" s="3505" t="s">
        <v>3557</v>
      </c>
      <c r="I836" s="3552">
        <v>18</v>
      </c>
    </row>
    <row r="837" spans="1:9" s="3472" customFormat="1">
      <c r="A837" s="3911"/>
      <c r="B837" s="3897"/>
      <c r="C837" s="3897"/>
      <c r="D837" s="3898"/>
      <c r="E837" s="3507" t="s">
        <v>4114</v>
      </c>
      <c r="F837" s="3522">
        <v>40.43</v>
      </c>
      <c r="G837" s="3509">
        <v>6.56</v>
      </c>
      <c r="H837" s="3505" t="s">
        <v>3557</v>
      </c>
      <c r="I837" s="3552">
        <v>18</v>
      </c>
    </row>
    <row r="838" spans="1:9" s="3472" customFormat="1">
      <c r="A838" s="3911"/>
      <c r="B838" s="3897"/>
      <c r="C838" s="3897"/>
      <c r="D838" s="3898"/>
      <c r="E838" s="3507" t="s">
        <v>4393</v>
      </c>
      <c r="F838" s="3522">
        <v>40.43</v>
      </c>
      <c r="G838" s="3509">
        <v>6.56</v>
      </c>
      <c r="H838" s="3505" t="s">
        <v>3557</v>
      </c>
      <c r="I838" s="3552">
        <v>18</v>
      </c>
    </row>
    <row r="839" spans="1:9" s="3472" customFormat="1">
      <c r="A839" s="3911"/>
      <c r="B839" s="3897"/>
      <c r="C839" s="3897"/>
      <c r="D839" s="3898"/>
      <c r="E839" s="3507" t="s">
        <v>4394</v>
      </c>
      <c r="F839" s="3522">
        <v>40.43</v>
      </c>
      <c r="G839" s="3509">
        <v>6.56</v>
      </c>
      <c r="H839" s="3505" t="s">
        <v>3557</v>
      </c>
      <c r="I839" s="3552">
        <v>18</v>
      </c>
    </row>
    <row r="840" spans="1:9" s="3472" customFormat="1">
      <c r="A840" s="3911"/>
      <c r="B840" s="3897"/>
      <c r="C840" s="3897"/>
      <c r="D840" s="3898"/>
      <c r="E840" s="3507" t="s">
        <v>4395</v>
      </c>
      <c r="F840" s="3522">
        <v>40.43</v>
      </c>
      <c r="G840" s="3509">
        <v>6.56</v>
      </c>
      <c r="H840" s="3505" t="s">
        <v>3557</v>
      </c>
      <c r="I840" s="3552">
        <v>18</v>
      </c>
    </row>
    <row r="841" spans="1:9" s="3472" customFormat="1">
      <c r="A841" s="3911"/>
      <c r="B841" s="3897"/>
      <c r="C841" s="3897"/>
      <c r="D841" s="3898"/>
      <c r="E841" s="3507" t="s">
        <v>4396</v>
      </c>
      <c r="F841" s="3522">
        <v>40.43</v>
      </c>
      <c r="G841" s="3509">
        <v>6.56</v>
      </c>
      <c r="H841" s="3505" t="s">
        <v>3557</v>
      </c>
      <c r="I841" s="3552">
        <v>18</v>
      </c>
    </row>
    <row r="842" spans="1:9" s="3472" customFormat="1">
      <c r="A842" s="3911"/>
      <c r="B842" s="3897"/>
      <c r="C842" s="3897"/>
      <c r="D842" s="3898"/>
      <c r="E842" s="3507" t="s">
        <v>4397</v>
      </c>
      <c r="F842" s="3522">
        <v>40.43</v>
      </c>
      <c r="G842" s="3509">
        <v>6.56</v>
      </c>
      <c r="H842" s="3505" t="s">
        <v>3557</v>
      </c>
      <c r="I842" s="3552">
        <v>18</v>
      </c>
    </row>
    <row r="843" spans="1:9" s="3472" customFormat="1">
      <c r="A843" s="3911"/>
      <c r="B843" s="3897"/>
      <c r="C843" s="3897"/>
      <c r="D843" s="3898"/>
      <c r="E843" s="3507" t="s">
        <v>4115</v>
      </c>
      <c r="F843" s="3522">
        <v>40.43</v>
      </c>
      <c r="G843" s="3509">
        <v>6.56</v>
      </c>
      <c r="H843" s="3505" t="s">
        <v>3557</v>
      </c>
      <c r="I843" s="3552">
        <v>18</v>
      </c>
    </row>
    <row r="844" spans="1:9" s="3472" customFormat="1">
      <c r="A844" s="3911"/>
      <c r="B844" s="3897" t="s">
        <v>3769</v>
      </c>
      <c r="C844" s="3897" t="s">
        <v>3770</v>
      </c>
      <c r="D844" s="3898" t="s">
        <v>3771</v>
      </c>
      <c r="E844" s="3507" t="s">
        <v>4398</v>
      </c>
      <c r="F844" s="3522">
        <v>80.86</v>
      </c>
      <c r="G844" s="3509">
        <v>13.12</v>
      </c>
      <c r="H844" s="3505" t="s">
        <v>3557</v>
      </c>
      <c r="I844" s="3552">
        <v>36</v>
      </c>
    </row>
    <row r="845" spans="1:9" s="3472" customFormat="1">
      <c r="A845" s="3911"/>
      <c r="B845" s="3897"/>
      <c r="C845" s="3897"/>
      <c r="D845" s="3898"/>
      <c r="E845" s="3507" t="s">
        <v>4399</v>
      </c>
      <c r="F845" s="3522">
        <v>80.86</v>
      </c>
      <c r="G845" s="3509">
        <v>13.12</v>
      </c>
      <c r="H845" s="3505" t="s">
        <v>3557</v>
      </c>
      <c r="I845" s="3552">
        <v>36</v>
      </c>
    </row>
    <row r="846" spans="1:9" s="3472" customFormat="1">
      <c r="A846" s="3911"/>
      <c r="B846" s="3897"/>
      <c r="C846" s="3897"/>
      <c r="D846" s="3898"/>
      <c r="E846" s="3507" t="s">
        <v>4116</v>
      </c>
      <c r="F846" s="3522">
        <v>40.43</v>
      </c>
      <c r="G846" s="3509">
        <v>6.56</v>
      </c>
      <c r="H846" s="3505" t="s">
        <v>3557</v>
      </c>
      <c r="I846" s="3552">
        <v>18</v>
      </c>
    </row>
    <row r="847" spans="1:9" s="3472" customFormat="1">
      <c r="A847" s="3911"/>
      <c r="B847" s="3897"/>
      <c r="C847" s="3897"/>
      <c r="D847" s="3898"/>
      <c r="E847" s="3507" t="s">
        <v>4117</v>
      </c>
      <c r="F847" s="3522">
        <v>40.43</v>
      </c>
      <c r="G847" s="3509">
        <v>6.56</v>
      </c>
      <c r="H847" s="3505" t="s">
        <v>3557</v>
      </c>
      <c r="I847" s="3552">
        <v>18</v>
      </c>
    </row>
    <row r="848" spans="1:9" s="3472" customFormat="1">
      <c r="A848" s="3911"/>
      <c r="B848" s="3897"/>
      <c r="C848" s="3897"/>
      <c r="D848" s="3898"/>
      <c r="E848" s="3507" t="s">
        <v>4118</v>
      </c>
      <c r="F848" s="3522">
        <v>40.43</v>
      </c>
      <c r="G848" s="3509">
        <v>6.56</v>
      </c>
      <c r="H848" s="3505" t="s">
        <v>3557</v>
      </c>
      <c r="I848" s="3552">
        <v>18</v>
      </c>
    </row>
    <row r="849" spans="1:9" s="3472" customFormat="1">
      <c r="A849" s="3911"/>
      <c r="B849" s="3897"/>
      <c r="C849" s="3897"/>
      <c r="D849" s="3898"/>
      <c r="E849" s="3507" t="s">
        <v>4400</v>
      </c>
      <c r="F849" s="3522">
        <v>40.43</v>
      </c>
      <c r="G849" s="3509">
        <v>6.56</v>
      </c>
      <c r="H849" s="3505" t="s">
        <v>3557</v>
      </c>
      <c r="I849" s="3552">
        <v>18</v>
      </c>
    </row>
    <row r="850" spans="1:9" s="3472" customFormat="1">
      <c r="A850" s="3911"/>
      <c r="B850" s="3897"/>
      <c r="C850" s="3897"/>
      <c r="D850" s="3898"/>
      <c r="E850" s="3507" t="s">
        <v>4401</v>
      </c>
      <c r="F850" s="3522">
        <v>40.43</v>
      </c>
      <c r="G850" s="3509">
        <v>6.56</v>
      </c>
      <c r="H850" s="3505" t="s">
        <v>3557</v>
      </c>
      <c r="I850" s="3552">
        <v>18</v>
      </c>
    </row>
    <row r="851" spans="1:9" s="3472" customFormat="1">
      <c r="A851" s="3911"/>
      <c r="B851" s="3897"/>
      <c r="C851" s="3897"/>
      <c r="D851" s="3898"/>
      <c r="E851" s="3507" t="s">
        <v>4119</v>
      </c>
      <c r="F851" s="3522">
        <v>40.43</v>
      </c>
      <c r="G851" s="3509">
        <v>6.56</v>
      </c>
      <c r="H851" s="3505" t="s">
        <v>3557</v>
      </c>
      <c r="I851" s="3552">
        <v>18</v>
      </c>
    </row>
    <row r="852" spans="1:9" s="3472" customFormat="1">
      <c r="A852" s="3911"/>
      <c r="B852" s="3897"/>
      <c r="C852" s="3897"/>
      <c r="D852" s="3898"/>
      <c r="E852" s="3507" t="s">
        <v>4402</v>
      </c>
      <c r="F852" s="3522">
        <v>40.43</v>
      </c>
      <c r="G852" s="3509">
        <v>6.56</v>
      </c>
      <c r="H852" s="3505" t="s">
        <v>3557</v>
      </c>
      <c r="I852" s="3552">
        <v>18</v>
      </c>
    </row>
    <row r="853" spans="1:9" s="3472" customFormat="1">
      <c r="A853" s="3911"/>
      <c r="B853" s="3897"/>
      <c r="C853" s="3897"/>
      <c r="D853" s="3898"/>
      <c r="E853" s="3507" t="s">
        <v>4120</v>
      </c>
      <c r="F853" s="3522">
        <v>40.43</v>
      </c>
      <c r="G853" s="3509">
        <v>6.56</v>
      </c>
      <c r="H853" s="3505" t="s">
        <v>3557</v>
      </c>
      <c r="I853" s="3552">
        <v>18</v>
      </c>
    </row>
    <row r="854" spans="1:9" s="3472" customFormat="1">
      <c r="A854" s="3911"/>
      <c r="B854" s="3897"/>
      <c r="C854" s="3897"/>
      <c r="D854" s="3898"/>
      <c r="E854" s="3507" t="s">
        <v>4121</v>
      </c>
      <c r="F854" s="3522">
        <v>40.43</v>
      </c>
      <c r="G854" s="3509">
        <v>6.56</v>
      </c>
      <c r="H854" s="3505" t="s">
        <v>3557</v>
      </c>
      <c r="I854" s="3552">
        <v>18</v>
      </c>
    </row>
    <row r="855" spans="1:9" s="3472" customFormat="1">
      <c r="A855" s="3911"/>
      <c r="B855" s="3897"/>
      <c r="C855" s="3897"/>
      <c r="D855" s="3898"/>
      <c r="E855" s="3507" t="s">
        <v>4403</v>
      </c>
      <c r="F855" s="3522">
        <v>40.43</v>
      </c>
      <c r="G855" s="3509">
        <v>6.56</v>
      </c>
      <c r="H855" s="3505" t="s">
        <v>3557</v>
      </c>
      <c r="I855" s="3552">
        <v>18</v>
      </c>
    </row>
    <row r="856" spans="1:9" s="3472" customFormat="1">
      <c r="A856" s="3911"/>
      <c r="B856" s="3897"/>
      <c r="C856" s="3897"/>
      <c r="D856" s="3898"/>
      <c r="E856" s="3507" t="s">
        <v>4122</v>
      </c>
      <c r="F856" s="3522">
        <v>40.43</v>
      </c>
      <c r="G856" s="3509">
        <v>6.56</v>
      </c>
      <c r="H856" s="3505" t="s">
        <v>3557</v>
      </c>
      <c r="I856" s="3552">
        <v>18</v>
      </c>
    </row>
    <row r="857" spans="1:9" s="3472" customFormat="1">
      <c r="A857" s="3911"/>
      <c r="B857" s="3897"/>
      <c r="C857" s="3897"/>
      <c r="D857" s="3898"/>
      <c r="E857" s="3507" t="s">
        <v>4123</v>
      </c>
      <c r="F857" s="3522">
        <v>40.43</v>
      </c>
      <c r="G857" s="3509">
        <v>6.56</v>
      </c>
      <c r="H857" s="3505" t="s">
        <v>3557</v>
      </c>
      <c r="I857" s="3552">
        <v>18</v>
      </c>
    </row>
    <row r="858" spans="1:9" s="3472" customFormat="1">
      <c r="A858" s="3911"/>
      <c r="B858" s="3897"/>
      <c r="C858" s="3897"/>
      <c r="D858" s="3898"/>
      <c r="E858" s="3507" t="s">
        <v>4124</v>
      </c>
      <c r="F858" s="3522">
        <v>40.43</v>
      </c>
      <c r="G858" s="3509">
        <v>6.56</v>
      </c>
      <c r="H858" s="3505" t="s">
        <v>3557</v>
      </c>
      <c r="I858" s="3552">
        <v>18</v>
      </c>
    </row>
    <row r="859" spans="1:9" s="3472" customFormat="1">
      <c r="A859" s="3911"/>
      <c r="B859" s="3897"/>
      <c r="C859" s="3897"/>
      <c r="D859" s="3898"/>
      <c r="E859" s="3507" t="s">
        <v>4404</v>
      </c>
      <c r="F859" s="3522">
        <v>40.43</v>
      </c>
      <c r="G859" s="3509">
        <v>6.56</v>
      </c>
      <c r="H859" s="3505" t="s">
        <v>3557</v>
      </c>
      <c r="I859" s="3552">
        <v>18</v>
      </c>
    </row>
    <row r="860" spans="1:9" s="3472" customFormat="1">
      <c r="A860" s="3911"/>
      <c r="B860" s="3897"/>
      <c r="C860" s="3897"/>
      <c r="D860" s="3898"/>
      <c r="E860" s="3507" t="s">
        <v>4405</v>
      </c>
      <c r="F860" s="3522">
        <v>80.86</v>
      </c>
      <c r="G860" s="3509">
        <v>13.12</v>
      </c>
      <c r="H860" s="3505" t="s">
        <v>3557</v>
      </c>
      <c r="I860" s="3552">
        <v>36</v>
      </c>
    </row>
    <row r="861" spans="1:9" s="3472" customFormat="1">
      <c r="A861" s="3911"/>
      <c r="B861" s="3897"/>
      <c r="C861" s="3897"/>
      <c r="D861" s="3898"/>
      <c r="E861" s="3507" t="s">
        <v>4125</v>
      </c>
      <c r="F861" s="3522">
        <v>40.43</v>
      </c>
      <c r="G861" s="3509">
        <v>6.56</v>
      </c>
      <c r="H861" s="3505" t="s">
        <v>3557</v>
      </c>
      <c r="I861" s="3552">
        <v>18</v>
      </c>
    </row>
    <row r="862" spans="1:9" s="3472" customFormat="1">
      <c r="A862" s="3911"/>
      <c r="B862" s="3897"/>
      <c r="C862" s="3897"/>
      <c r="D862" s="3898"/>
      <c r="E862" s="3507" t="s">
        <v>4126</v>
      </c>
      <c r="F862" s="3522">
        <v>40.43</v>
      </c>
      <c r="G862" s="3509">
        <v>6.56</v>
      </c>
      <c r="H862" s="3505" t="s">
        <v>3557</v>
      </c>
      <c r="I862" s="3552">
        <v>18</v>
      </c>
    </row>
    <row r="863" spans="1:9" s="3472" customFormat="1">
      <c r="A863" s="3911"/>
      <c r="B863" s="3897"/>
      <c r="C863" s="3897"/>
      <c r="D863" s="3898"/>
      <c r="E863" s="3507" t="s">
        <v>4127</v>
      </c>
      <c r="F863" s="3522">
        <v>40.43</v>
      </c>
      <c r="G863" s="3509">
        <v>6.56</v>
      </c>
      <c r="H863" s="3505" t="s">
        <v>3557</v>
      </c>
      <c r="I863" s="3552">
        <v>18</v>
      </c>
    </row>
    <row r="864" spans="1:9" s="3472" customFormat="1">
      <c r="A864" s="3911"/>
      <c r="B864" s="3897"/>
      <c r="C864" s="3897"/>
      <c r="D864" s="3898"/>
      <c r="E864" s="3507" t="s">
        <v>4406</v>
      </c>
      <c r="F864" s="3522">
        <v>40.43</v>
      </c>
      <c r="G864" s="3509">
        <v>6.56</v>
      </c>
      <c r="H864" s="3505" t="s">
        <v>3557</v>
      </c>
      <c r="I864" s="3552">
        <v>18</v>
      </c>
    </row>
    <row r="865" spans="1:9" s="3472" customFormat="1">
      <c r="A865" s="3911"/>
      <c r="B865" s="3897"/>
      <c r="C865" s="3897"/>
      <c r="D865" s="3898"/>
      <c r="E865" s="3507" t="s">
        <v>4407</v>
      </c>
      <c r="F865" s="3522">
        <v>40.43</v>
      </c>
      <c r="G865" s="3509">
        <v>6.56</v>
      </c>
      <c r="H865" s="3505" t="s">
        <v>3557</v>
      </c>
      <c r="I865" s="3552">
        <v>18</v>
      </c>
    </row>
    <row r="866" spans="1:9" s="3472" customFormat="1">
      <c r="A866" s="3911"/>
      <c r="B866" s="3897"/>
      <c r="C866" s="3897"/>
      <c r="D866" s="3898"/>
      <c r="E866" s="3507" t="s">
        <v>4128</v>
      </c>
      <c r="F866" s="3522">
        <v>40.43</v>
      </c>
      <c r="G866" s="3509">
        <v>6.56</v>
      </c>
      <c r="H866" s="3505" t="s">
        <v>3557</v>
      </c>
      <c r="I866" s="3552">
        <v>18</v>
      </c>
    </row>
    <row r="867" spans="1:9" s="3472" customFormat="1">
      <c r="A867" s="3911"/>
      <c r="B867" s="3897"/>
      <c r="C867" s="3897"/>
      <c r="D867" s="3898"/>
      <c r="E867" s="3507" t="s">
        <v>4129</v>
      </c>
      <c r="F867" s="3522">
        <v>40.43</v>
      </c>
      <c r="G867" s="3509">
        <v>6.56</v>
      </c>
      <c r="H867" s="3505" t="s">
        <v>3557</v>
      </c>
      <c r="I867" s="3552">
        <v>18</v>
      </c>
    </row>
    <row r="868" spans="1:9" s="3472" customFormat="1">
      <c r="A868" s="3911"/>
      <c r="B868" s="3897"/>
      <c r="C868" s="3897"/>
      <c r="D868" s="3898"/>
      <c r="E868" s="3507" t="s">
        <v>4408</v>
      </c>
      <c r="F868" s="3522">
        <v>40.43</v>
      </c>
      <c r="G868" s="3509">
        <v>6.56</v>
      </c>
      <c r="H868" s="3505" t="s">
        <v>3557</v>
      </c>
      <c r="I868" s="3552">
        <v>18</v>
      </c>
    </row>
    <row r="869" spans="1:9" s="3472" customFormat="1">
      <c r="A869" s="3911"/>
      <c r="B869" s="3897"/>
      <c r="C869" s="3897"/>
      <c r="D869" s="3898"/>
      <c r="E869" s="3507" t="s">
        <v>4409</v>
      </c>
      <c r="F869" s="3522">
        <v>40.43</v>
      </c>
      <c r="G869" s="3509">
        <v>6.56</v>
      </c>
      <c r="H869" s="3505" t="s">
        <v>3557</v>
      </c>
      <c r="I869" s="3552">
        <v>18</v>
      </c>
    </row>
    <row r="870" spans="1:9" s="3472" customFormat="1">
      <c r="A870" s="3911"/>
      <c r="B870" s="3897"/>
      <c r="C870" s="3897"/>
      <c r="D870" s="3898"/>
      <c r="E870" s="3507" t="s">
        <v>4130</v>
      </c>
      <c r="F870" s="3522">
        <v>40.43</v>
      </c>
      <c r="G870" s="3509">
        <v>6.56</v>
      </c>
      <c r="H870" s="3505" t="s">
        <v>3557</v>
      </c>
      <c r="I870" s="3552">
        <v>18</v>
      </c>
    </row>
    <row r="871" spans="1:9" s="3472" customFormat="1">
      <c r="A871" s="3911"/>
      <c r="B871" s="3897"/>
      <c r="C871" s="3897"/>
      <c r="D871" s="3898"/>
      <c r="E871" s="3507" t="s">
        <v>4410</v>
      </c>
      <c r="F871" s="3522">
        <v>40.43</v>
      </c>
      <c r="G871" s="3509">
        <v>6.56</v>
      </c>
      <c r="H871" s="3505" t="s">
        <v>3557</v>
      </c>
      <c r="I871" s="3552">
        <v>18</v>
      </c>
    </row>
    <row r="872" spans="1:9" s="3472" customFormat="1">
      <c r="A872" s="3911"/>
      <c r="B872" s="3897"/>
      <c r="C872" s="3897"/>
      <c r="D872" s="3898"/>
      <c r="E872" s="3507" t="s">
        <v>4411</v>
      </c>
      <c r="F872" s="3522">
        <v>40.43</v>
      </c>
      <c r="G872" s="3509">
        <v>6.56</v>
      </c>
      <c r="H872" s="3505" t="s">
        <v>3557</v>
      </c>
      <c r="I872" s="3552">
        <v>18</v>
      </c>
    </row>
    <row r="873" spans="1:9" s="3472" customFormat="1">
      <c r="A873" s="3911"/>
      <c r="B873" s="3897"/>
      <c r="C873" s="3897"/>
      <c r="D873" s="3898"/>
      <c r="E873" s="3507" t="s">
        <v>4131</v>
      </c>
      <c r="F873" s="3522">
        <v>40.43</v>
      </c>
      <c r="G873" s="3509">
        <v>6.56</v>
      </c>
      <c r="H873" s="3505" t="s">
        <v>3557</v>
      </c>
      <c r="I873" s="3552">
        <v>18</v>
      </c>
    </row>
    <row r="874" spans="1:9" s="3472" customFormat="1">
      <c r="A874" s="3911"/>
      <c r="B874" s="3897"/>
      <c r="C874" s="3897"/>
      <c r="D874" s="3898"/>
      <c r="E874" s="3507" t="s">
        <v>4412</v>
      </c>
      <c r="F874" s="3522">
        <v>40.43</v>
      </c>
      <c r="G874" s="3509">
        <v>6.56</v>
      </c>
      <c r="H874" s="3505" t="s">
        <v>3557</v>
      </c>
      <c r="I874" s="3552">
        <v>18</v>
      </c>
    </row>
    <row r="875" spans="1:9" s="3472" customFormat="1">
      <c r="A875" s="3911"/>
      <c r="B875" s="3897"/>
      <c r="C875" s="3897"/>
      <c r="D875" s="3898"/>
      <c r="E875" s="3507" t="s">
        <v>4413</v>
      </c>
      <c r="F875" s="3522">
        <v>40.43</v>
      </c>
      <c r="G875" s="3509">
        <v>6.56</v>
      </c>
      <c r="H875" s="3505" t="s">
        <v>3557</v>
      </c>
      <c r="I875" s="3552">
        <v>18</v>
      </c>
    </row>
    <row r="876" spans="1:9" s="3472" customFormat="1">
      <c r="A876" s="3911"/>
      <c r="B876" s="3897"/>
      <c r="C876" s="3897"/>
      <c r="D876" s="3898"/>
      <c r="E876" s="3507" t="s">
        <v>4132</v>
      </c>
      <c r="F876" s="3522">
        <v>40.43</v>
      </c>
      <c r="G876" s="3509">
        <v>6.56</v>
      </c>
      <c r="H876" s="3505" t="s">
        <v>3557</v>
      </c>
      <c r="I876" s="3552">
        <v>18</v>
      </c>
    </row>
    <row r="877" spans="1:9" s="3472" customFormat="1">
      <c r="A877" s="3911"/>
      <c r="B877" s="3897"/>
      <c r="C877" s="3897"/>
      <c r="D877" s="3898"/>
      <c r="E877" s="3507" t="s">
        <v>4414</v>
      </c>
      <c r="F877" s="3522">
        <v>40.43</v>
      </c>
      <c r="G877" s="3509">
        <v>6.56</v>
      </c>
      <c r="H877" s="3505" t="s">
        <v>3557</v>
      </c>
      <c r="I877" s="3552">
        <v>18</v>
      </c>
    </row>
    <row r="878" spans="1:9" s="3472" customFormat="1">
      <c r="A878" s="3911"/>
      <c r="B878" s="3897"/>
      <c r="C878" s="3897"/>
      <c r="D878" s="3898"/>
      <c r="E878" s="3507" t="s">
        <v>4133</v>
      </c>
      <c r="F878" s="3522">
        <v>40.43</v>
      </c>
      <c r="G878" s="3509">
        <v>6.56</v>
      </c>
      <c r="H878" s="3505" t="s">
        <v>3557</v>
      </c>
      <c r="I878" s="3552">
        <v>18</v>
      </c>
    </row>
    <row r="879" spans="1:9" s="3472" customFormat="1">
      <c r="A879" s="3911"/>
      <c r="B879" s="3897"/>
      <c r="C879" s="3897"/>
      <c r="D879" s="3898"/>
      <c r="E879" s="3507" t="s">
        <v>4134</v>
      </c>
      <c r="F879" s="3522">
        <v>40.43</v>
      </c>
      <c r="G879" s="3509">
        <v>6.56</v>
      </c>
      <c r="H879" s="3505" t="s">
        <v>3557</v>
      </c>
      <c r="I879" s="3552">
        <v>18</v>
      </c>
    </row>
    <row r="880" spans="1:9" s="3472" customFormat="1">
      <c r="A880" s="3911"/>
      <c r="B880" s="3897"/>
      <c r="C880" s="3897"/>
      <c r="D880" s="3898"/>
      <c r="E880" s="3507" t="s">
        <v>4415</v>
      </c>
      <c r="F880" s="3522">
        <v>40.43</v>
      </c>
      <c r="G880" s="3509">
        <v>6.56</v>
      </c>
      <c r="H880" s="3505" t="s">
        <v>3557</v>
      </c>
      <c r="I880" s="3552">
        <v>18</v>
      </c>
    </row>
    <row r="881" spans="1:9" s="3472" customFormat="1">
      <c r="A881" s="3911"/>
      <c r="B881" s="3897" t="s">
        <v>3769</v>
      </c>
      <c r="C881" s="3897" t="s">
        <v>3770</v>
      </c>
      <c r="D881" s="3898" t="s">
        <v>3771</v>
      </c>
      <c r="E881" s="3507" t="s">
        <v>4135</v>
      </c>
      <c r="F881" s="3522">
        <v>40.43</v>
      </c>
      <c r="G881" s="3509">
        <v>6.56</v>
      </c>
      <c r="H881" s="3505" t="s">
        <v>3557</v>
      </c>
      <c r="I881" s="3552">
        <v>18</v>
      </c>
    </row>
    <row r="882" spans="1:9" s="3472" customFormat="1">
      <c r="A882" s="3911"/>
      <c r="B882" s="3897"/>
      <c r="C882" s="3897"/>
      <c r="D882" s="3898"/>
      <c r="E882" s="3507" t="s">
        <v>4136</v>
      </c>
      <c r="F882" s="3522">
        <v>40.43</v>
      </c>
      <c r="G882" s="3509">
        <v>6.56</v>
      </c>
      <c r="H882" s="3505" t="s">
        <v>3557</v>
      </c>
      <c r="I882" s="3552">
        <v>18</v>
      </c>
    </row>
    <row r="883" spans="1:9" s="3472" customFormat="1">
      <c r="A883" s="3911"/>
      <c r="B883" s="3897"/>
      <c r="C883" s="3897"/>
      <c r="D883" s="3898"/>
      <c r="E883" s="3507" t="s">
        <v>4137</v>
      </c>
      <c r="F883" s="3522">
        <v>40.43</v>
      </c>
      <c r="G883" s="3509">
        <v>6.56</v>
      </c>
      <c r="H883" s="3505" t="s">
        <v>3557</v>
      </c>
      <c r="I883" s="3552">
        <v>18</v>
      </c>
    </row>
    <row r="884" spans="1:9" s="3472" customFormat="1">
      <c r="A884" s="3911"/>
      <c r="B884" s="3897"/>
      <c r="C884" s="3897"/>
      <c r="D884" s="3898"/>
      <c r="E884" s="3507" t="s">
        <v>4138</v>
      </c>
      <c r="F884" s="3522">
        <v>40.43</v>
      </c>
      <c r="G884" s="3509">
        <v>6.56</v>
      </c>
      <c r="H884" s="3505" t="s">
        <v>3557</v>
      </c>
      <c r="I884" s="3552">
        <v>18</v>
      </c>
    </row>
    <row r="885" spans="1:9" s="3472" customFormat="1">
      <c r="A885" s="3911"/>
      <c r="B885" s="3897"/>
      <c r="C885" s="3897"/>
      <c r="D885" s="3898"/>
      <c r="E885" s="3507" t="s">
        <v>4416</v>
      </c>
      <c r="F885" s="3522">
        <v>40.43</v>
      </c>
      <c r="G885" s="3509">
        <v>6.56</v>
      </c>
      <c r="H885" s="3505" t="s">
        <v>3557</v>
      </c>
      <c r="I885" s="3552">
        <v>18</v>
      </c>
    </row>
    <row r="886" spans="1:9" s="3472" customFormat="1">
      <c r="A886" s="3911"/>
      <c r="B886" s="3897"/>
      <c r="C886" s="3897"/>
      <c r="D886" s="3898"/>
      <c r="E886" s="3507" t="s">
        <v>4139</v>
      </c>
      <c r="F886" s="3522">
        <v>40.43</v>
      </c>
      <c r="G886" s="3509">
        <v>6.56</v>
      </c>
      <c r="H886" s="3505" t="s">
        <v>3557</v>
      </c>
      <c r="I886" s="3552">
        <v>18</v>
      </c>
    </row>
    <row r="887" spans="1:9" s="3472" customFormat="1">
      <c r="A887" s="3911"/>
      <c r="B887" s="3897"/>
      <c r="C887" s="3897"/>
      <c r="D887" s="3898"/>
      <c r="E887" s="3507" t="s">
        <v>4140</v>
      </c>
      <c r="F887" s="3522">
        <v>40.43</v>
      </c>
      <c r="G887" s="3509">
        <v>6.56</v>
      </c>
      <c r="H887" s="3505" t="s">
        <v>3557</v>
      </c>
      <c r="I887" s="3552">
        <v>18</v>
      </c>
    </row>
    <row r="888" spans="1:9" s="3472" customFormat="1">
      <c r="A888" s="3911"/>
      <c r="B888" s="3897"/>
      <c r="C888" s="3897"/>
      <c r="D888" s="3898"/>
      <c r="E888" s="3507" t="s">
        <v>4417</v>
      </c>
      <c r="F888" s="3522">
        <v>40.43</v>
      </c>
      <c r="G888" s="3509">
        <v>6.56</v>
      </c>
      <c r="H888" s="3505" t="s">
        <v>3557</v>
      </c>
      <c r="I888" s="3552">
        <v>18</v>
      </c>
    </row>
    <row r="889" spans="1:9" s="3472" customFormat="1">
      <c r="A889" s="3911"/>
      <c r="B889" s="3897"/>
      <c r="C889" s="3897"/>
      <c r="D889" s="3898"/>
      <c r="E889" s="3507" t="s">
        <v>4141</v>
      </c>
      <c r="F889" s="3522">
        <v>40.43</v>
      </c>
      <c r="G889" s="3509">
        <v>6.56</v>
      </c>
      <c r="H889" s="3505" t="s">
        <v>3557</v>
      </c>
      <c r="I889" s="3552">
        <v>18</v>
      </c>
    </row>
    <row r="890" spans="1:9" s="3472" customFormat="1">
      <c r="A890" s="3911"/>
      <c r="B890" s="3897"/>
      <c r="C890" s="3897"/>
      <c r="D890" s="3898"/>
      <c r="E890" s="3507" t="s">
        <v>4142</v>
      </c>
      <c r="F890" s="3522">
        <v>40.43</v>
      </c>
      <c r="G890" s="3509">
        <v>6.56</v>
      </c>
      <c r="H890" s="3505" t="s">
        <v>3557</v>
      </c>
      <c r="I890" s="3552">
        <v>18</v>
      </c>
    </row>
    <row r="891" spans="1:9" s="3472" customFormat="1">
      <c r="A891" s="3911"/>
      <c r="B891" s="3897"/>
      <c r="C891" s="3897"/>
      <c r="D891" s="3898"/>
      <c r="E891" s="3507" t="s">
        <v>4418</v>
      </c>
      <c r="F891" s="3522">
        <v>40.43</v>
      </c>
      <c r="G891" s="3509">
        <v>6.56</v>
      </c>
      <c r="H891" s="3505" t="s">
        <v>3557</v>
      </c>
      <c r="I891" s="3552">
        <v>18</v>
      </c>
    </row>
    <row r="892" spans="1:9" s="3472" customFormat="1">
      <c r="A892" s="3911"/>
      <c r="B892" s="3897"/>
      <c r="C892" s="3897"/>
      <c r="D892" s="3898"/>
      <c r="E892" s="3507" t="s">
        <v>4143</v>
      </c>
      <c r="F892" s="3522">
        <v>40.43</v>
      </c>
      <c r="G892" s="3509">
        <v>6.56</v>
      </c>
      <c r="H892" s="3505" t="s">
        <v>3557</v>
      </c>
      <c r="I892" s="3552">
        <v>18</v>
      </c>
    </row>
    <row r="893" spans="1:9" s="3472" customFormat="1">
      <c r="A893" s="3911"/>
      <c r="B893" s="3897"/>
      <c r="C893" s="3897"/>
      <c r="D893" s="3898"/>
      <c r="E893" s="3507" t="s">
        <v>4144</v>
      </c>
      <c r="F893" s="3522">
        <v>40.43</v>
      </c>
      <c r="G893" s="3509">
        <v>6.56</v>
      </c>
      <c r="H893" s="3505" t="s">
        <v>3557</v>
      </c>
      <c r="I893" s="3552">
        <v>18</v>
      </c>
    </row>
    <row r="894" spans="1:9" s="3472" customFormat="1">
      <c r="A894" s="3911"/>
      <c r="B894" s="3897"/>
      <c r="C894" s="3897"/>
      <c r="D894" s="3898"/>
      <c r="E894" s="3507" t="s">
        <v>4145</v>
      </c>
      <c r="F894" s="3522">
        <v>40.43</v>
      </c>
      <c r="G894" s="3509">
        <v>6.56</v>
      </c>
      <c r="H894" s="3505" t="s">
        <v>3557</v>
      </c>
      <c r="I894" s="3552">
        <v>18</v>
      </c>
    </row>
    <row r="895" spans="1:9" s="3472" customFormat="1">
      <c r="A895" s="3911"/>
      <c r="B895" s="3897"/>
      <c r="C895" s="3897"/>
      <c r="D895" s="3898"/>
      <c r="E895" s="3507" t="s">
        <v>4146</v>
      </c>
      <c r="F895" s="3522">
        <v>40.43</v>
      </c>
      <c r="G895" s="3509">
        <v>6.56</v>
      </c>
      <c r="H895" s="3505" t="s">
        <v>3557</v>
      </c>
      <c r="I895" s="3552">
        <v>18</v>
      </c>
    </row>
    <row r="896" spans="1:9" s="3472" customFormat="1">
      <c r="A896" s="3911"/>
      <c r="B896" s="3897"/>
      <c r="C896" s="3897"/>
      <c r="D896" s="3898"/>
      <c r="E896" s="3507" t="s">
        <v>4147</v>
      </c>
      <c r="F896" s="3522">
        <v>40.43</v>
      </c>
      <c r="G896" s="3509">
        <v>6.56</v>
      </c>
      <c r="H896" s="3505" t="s">
        <v>3557</v>
      </c>
      <c r="I896" s="3552">
        <v>18</v>
      </c>
    </row>
    <row r="897" spans="1:9" s="3472" customFormat="1">
      <c r="A897" s="3911"/>
      <c r="B897" s="3897"/>
      <c r="C897" s="3897"/>
      <c r="D897" s="3898"/>
      <c r="E897" s="3507" t="s">
        <v>4148</v>
      </c>
      <c r="F897" s="3522">
        <v>40.43</v>
      </c>
      <c r="G897" s="3509">
        <v>6.56</v>
      </c>
      <c r="H897" s="3505" t="s">
        <v>3557</v>
      </c>
      <c r="I897" s="3552">
        <v>18</v>
      </c>
    </row>
    <row r="898" spans="1:9" s="3472" customFormat="1">
      <c r="A898" s="3911"/>
      <c r="B898" s="3897"/>
      <c r="C898" s="3897"/>
      <c r="D898" s="3898"/>
      <c r="E898" s="3507" t="s">
        <v>4149</v>
      </c>
      <c r="F898" s="3522">
        <v>40.43</v>
      </c>
      <c r="G898" s="3509">
        <v>6.56</v>
      </c>
      <c r="H898" s="3505" t="s">
        <v>3557</v>
      </c>
      <c r="I898" s="3552">
        <v>18</v>
      </c>
    </row>
    <row r="899" spans="1:9" s="3472" customFormat="1">
      <c r="A899" s="3911"/>
      <c r="B899" s="3897"/>
      <c r="C899" s="3897"/>
      <c r="D899" s="3898"/>
      <c r="E899" s="3507" t="s">
        <v>4419</v>
      </c>
      <c r="F899" s="3522">
        <v>40.43</v>
      </c>
      <c r="G899" s="3509">
        <v>6.56</v>
      </c>
      <c r="H899" s="3505" t="s">
        <v>3557</v>
      </c>
      <c r="I899" s="3552">
        <v>18</v>
      </c>
    </row>
    <row r="900" spans="1:9" s="3472" customFormat="1">
      <c r="A900" s="3911"/>
      <c r="B900" s="3897"/>
      <c r="C900" s="3897"/>
      <c r="D900" s="3898"/>
      <c r="E900" s="3507" t="s">
        <v>4420</v>
      </c>
      <c r="F900" s="3522">
        <v>68.27</v>
      </c>
      <c r="G900" s="3509">
        <v>11.07</v>
      </c>
      <c r="H900" s="3505" t="s">
        <v>3557</v>
      </c>
      <c r="I900" s="3552">
        <v>29</v>
      </c>
    </row>
    <row r="901" spans="1:9" s="3472" customFormat="1">
      <c r="A901" s="3911"/>
      <c r="B901" s="3897"/>
      <c r="C901" s="3897"/>
      <c r="D901" s="3898"/>
      <c r="E901" s="3507" t="s">
        <v>4150</v>
      </c>
      <c r="F901" s="3522">
        <v>40.43</v>
      </c>
      <c r="G901" s="3509">
        <v>6.56</v>
      </c>
      <c r="H901" s="3505" t="s">
        <v>3557</v>
      </c>
      <c r="I901" s="3552">
        <v>18</v>
      </c>
    </row>
    <row r="902" spans="1:9" s="3472" customFormat="1">
      <c r="A902" s="3911"/>
      <c r="B902" s="3897"/>
      <c r="C902" s="3897"/>
      <c r="D902" s="3898"/>
      <c r="E902" s="3507" t="s">
        <v>4151</v>
      </c>
      <c r="F902" s="3522">
        <v>40.43</v>
      </c>
      <c r="G902" s="3509">
        <v>6.56</v>
      </c>
      <c r="H902" s="3505" t="s">
        <v>3557</v>
      </c>
      <c r="I902" s="3552">
        <v>18</v>
      </c>
    </row>
    <row r="903" spans="1:9" s="3472" customFormat="1">
      <c r="A903" s="3911"/>
      <c r="B903" s="3897"/>
      <c r="C903" s="3897"/>
      <c r="D903" s="3898"/>
      <c r="E903" s="3507" t="s">
        <v>4421</v>
      </c>
      <c r="F903" s="3522">
        <v>40.43</v>
      </c>
      <c r="G903" s="3509">
        <v>6.56</v>
      </c>
      <c r="H903" s="3505" t="s">
        <v>3557</v>
      </c>
      <c r="I903" s="3552">
        <v>18</v>
      </c>
    </row>
    <row r="904" spans="1:9" s="3472" customFormat="1">
      <c r="A904" s="3911"/>
      <c r="B904" s="3897"/>
      <c r="C904" s="3897"/>
      <c r="D904" s="3898"/>
      <c r="E904" s="3507" t="s">
        <v>4422</v>
      </c>
      <c r="F904" s="3522">
        <v>40.43</v>
      </c>
      <c r="G904" s="3509">
        <v>6.56</v>
      </c>
      <c r="H904" s="3505" t="s">
        <v>3557</v>
      </c>
      <c r="I904" s="3552">
        <v>18</v>
      </c>
    </row>
    <row r="905" spans="1:9" s="3472" customFormat="1">
      <c r="A905" s="3911"/>
      <c r="B905" s="3897"/>
      <c r="C905" s="3897"/>
      <c r="D905" s="3898"/>
      <c r="E905" s="3507" t="s">
        <v>4423</v>
      </c>
      <c r="F905" s="3522">
        <v>40.43</v>
      </c>
      <c r="G905" s="3509">
        <v>6.56</v>
      </c>
      <c r="H905" s="3505" t="s">
        <v>3557</v>
      </c>
      <c r="I905" s="3552">
        <v>18</v>
      </c>
    </row>
    <row r="906" spans="1:9" s="3472" customFormat="1">
      <c r="A906" s="3911"/>
      <c r="B906" s="3897"/>
      <c r="C906" s="3897"/>
      <c r="D906" s="3898"/>
      <c r="E906" s="3507" t="s">
        <v>4152</v>
      </c>
      <c r="F906" s="3522">
        <v>40.43</v>
      </c>
      <c r="G906" s="3509">
        <v>6.56</v>
      </c>
      <c r="H906" s="3505" t="s">
        <v>3557</v>
      </c>
      <c r="I906" s="3552">
        <v>18</v>
      </c>
    </row>
    <row r="907" spans="1:9" s="3472" customFormat="1">
      <c r="A907" s="3911"/>
      <c r="B907" s="3897"/>
      <c r="C907" s="3897"/>
      <c r="D907" s="3898"/>
      <c r="E907" s="3507" t="s">
        <v>4424</v>
      </c>
      <c r="F907" s="3522">
        <v>40.43</v>
      </c>
      <c r="G907" s="3509">
        <v>6.56</v>
      </c>
      <c r="H907" s="3505" t="s">
        <v>3557</v>
      </c>
      <c r="I907" s="3552">
        <v>18</v>
      </c>
    </row>
    <row r="908" spans="1:9" s="3472" customFormat="1">
      <c r="A908" s="3911"/>
      <c r="B908" s="3897"/>
      <c r="C908" s="3897"/>
      <c r="D908" s="3898"/>
      <c r="E908" s="3507" t="s">
        <v>4153</v>
      </c>
      <c r="F908" s="3522">
        <v>40.43</v>
      </c>
      <c r="G908" s="3509">
        <v>6.56</v>
      </c>
      <c r="H908" s="3505" t="s">
        <v>3557</v>
      </c>
      <c r="I908" s="3552">
        <v>18</v>
      </c>
    </row>
    <row r="909" spans="1:9" s="3472" customFormat="1">
      <c r="A909" s="3911"/>
      <c r="B909" s="3897"/>
      <c r="C909" s="3897"/>
      <c r="D909" s="3898"/>
      <c r="E909" s="3507" t="s">
        <v>4154</v>
      </c>
      <c r="F909" s="3522">
        <v>40.43</v>
      </c>
      <c r="G909" s="3509">
        <v>6.56</v>
      </c>
      <c r="H909" s="3505" t="s">
        <v>3557</v>
      </c>
      <c r="I909" s="3552">
        <v>18</v>
      </c>
    </row>
    <row r="910" spans="1:9" s="3472" customFormat="1">
      <c r="A910" s="3911"/>
      <c r="B910" s="3897"/>
      <c r="C910" s="3897"/>
      <c r="D910" s="3898"/>
      <c r="E910" s="3507" t="s">
        <v>4155</v>
      </c>
      <c r="F910" s="3522">
        <v>40.43</v>
      </c>
      <c r="G910" s="3509">
        <v>6.56</v>
      </c>
      <c r="H910" s="3505" t="s">
        <v>3557</v>
      </c>
      <c r="I910" s="3552">
        <v>18</v>
      </c>
    </row>
    <row r="911" spans="1:9" s="3472" customFormat="1">
      <c r="A911" s="3911"/>
      <c r="B911" s="3897"/>
      <c r="C911" s="3897"/>
      <c r="D911" s="3898"/>
      <c r="E911" s="3507" t="s">
        <v>4156</v>
      </c>
      <c r="F911" s="3522">
        <v>40.43</v>
      </c>
      <c r="G911" s="3509">
        <v>6.56</v>
      </c>
      <c r="H911" s="3505" t="s">
        <v>3557</v>
      </c>
      <c r="I911" s="3552">
        <v>18</v>
      </c>
    </row>
    <row r="912" spans="1:9" s="3472" customFormat="1">
      <c r="A912" s="3911"/>
      <c r="B912" s="3897"/>
      <c r="C912" s="3897"/>
      <c r="D912" s="3898"/>
      <c r="E912" s="3507" t="s">
        <v>4157</v>
      </c>
      <c r="F912" s="3522">
        <v>40.43</v>
      </c>
      <c r="G912" s="3509">
        <v>6.56</v>
      </c>
      <c r="H912" s="3505" t="s">
        <v>3557</v>
      </c>
      <c r="I912" s="3552">
        <v>18</v>
      </c>
    </row>
    <row r="913" spans="1:9" s="3472" customFormat="1">
      <c r="A913" s="3911"/>
      <c r="B913" s="3897"/>
      <c r="C913" s="3897"/>
      <c r="D913" s="3898"/>
      <c r="E913" s="3507" t="s">
        <v>4425</v>
      </c>
      <c r="F913" s="3522">
        <v>40.43</v>
      </c>
      <c r="G913" s="3509">
        <v>6.56</v>
      </c>
      <c r="H913" s="3505" t="s">
        <v>3557</v>
      </c>
      <c r="I913" s="3552">
        <v>18</v>
      </c>
    </row>
    <row r="914" spans="1:9" s="3472" customFormat="1">
      <c r="A914" s="3911"/>
      <c r="B914" s="3897"/>
      <c r="C914" s="3897"/>
      <c r="D914" s="3898"/>
      <c r="E914" s="3507" t="s">
        <v>4426</v>
      </c>
      <c r="F914" s="3522">
        <v>40.43</v>
      </c>
      <c r="G914" s="3509">
        <v>6.56</v>
      </c>
      <c r="H914" s="3505" t="s">
        <v>3557</v>
      </c>
      <c r="I914" s="3552">
        <v>18</v>
      </c>
    </row>
    <row r="915" spans="1:9" s="3472" customFormat="1">
      <c r="A915" s="3995"/>
      <c r="B915" s="3897"/>
      <c r="C915" s="3897"/>
      <c r="D915" s="3898"/>
      <c r="E915" s="3507" t="s">
        <v>4158</v>
      </c>
      <c r="F915" s="3522">
        <v>40.43</v>
      </c>
      <c r="G915" s="3509">
        <v>6.56</v>
      </c>
      <c r="H915" s="3505" t="s">
        <v>3557</v>
      </c>
      <c r="I915" s="3552">
        <v>18</v>
      </c>
    </row>
    <row r="916" spans="1:9" s="3472" customFormat="1">
      <c r="A916" s="3902" t="s">
        <v>3526</v>
      </c>
      <c r="B916" s="3902"/>
      <c r="C916" s="3902"/>
      <c r="D916" s="3902"/>
      <c r="E916" s="3902"/>
      <c r="F916" s="3520">
        <v>28298.640000000159</v>
      </c>
      <c r="G916" s="3466">
        <v>4590.2900000000009</v>
      </c>
      <c r="H916" s="3506"/>
      <c r="I916" s="3550">
        <v>19334</v>
      </c>
    </row>
    <row r="917" spans="1:9" s="3472" customFormat="1">
      <c r="A917" s="3902"/>
      <c r="B917" s="3902"/>
      <c r="C917" s="3902"/>
      <c r="D917" s="3902"/>
      <c r="E917" s="3902"/>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 ref="B696:B732"/>
    <mergeCell ref="C696:C732"/>
    <mergeCell ref="D696:D732"/>
    <mergeCell ref="B733:B769"/>
    <mergeCell ref="C733:C769"/>
    <mergeCell ref="D733:D769"/>
    <mergeCell ref="B622:B658"/>
    <mergeCell ref="C622:C658"/>
    <mergeCell ref="D622:D658"/>
    <mergeCell ref="B659:B695"/>
    <mergeCell ref="C659:C695"/>
    <mergeCell ref="D659:D695"/>
    <mergeCell ref="B548:B584"/>
    <mergeCell ref="C548:C584"/>
    <mergeCell ref="D548:D584"/>
    <mergeCell ref="B585:B621"/>
    <mergeCell ref="C585:C621"/>
    <mergeCell ref="D585:D621"/>
    <mergeCell ref="B474:B510"/>
    <mergeCell ref="C474:C510"/>
    <mergeCell ref="D474:D510"/>
    <mergeCell ref="B511:B547"/>
    <mergeCell ref="C511:C547"/>
    <mergeCell ref="D511:D547"/>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A282:E282"/>
    <mergeCell ref="A284:A295"/>
    <mergeCell ref="B284:B295"/>
    <mergeCell ref="C284:C295"/>
    <mergeCell ref="D284:D295"/>
    <mergeCell ref="A296:E296"/>
    <mergeCell ref="B223:B259"/>
    <mergeCell ref="C223:C259"/>
    <mergeCell ref="D223:D259"/>
    <mergeCell ref="B260:B281"/>
    <mergeCell ref="C260:C281"/>
    <mergeCell ref="D260:D281"/>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58" customFormat="1" ht="21" customHeight="1">
      <c r="A1" s="4008" t="s">
        <v>4285</v>
      </c>
      <c r="B1" s="4008"/>
      <c r="C1" s="4008"/>
      <c r="D1" s="4008"/>
      <c r="E1" s="4008"/>
      <c r="F1" s="4009"/>
      <c r="G1" s="4009"/>
      <c r="H1" s="4008"/>
    </row>
    <row r="2" spans="1:8" ht="26.25">
      <c r="A2" s="3559" t="s">
        <v>3437</v>
      </c>
      <c r="B2" s="3568" t="s">
        <v>3438</v>
      </c>
      <c r="C2" s="3568" t="s">
        <v>3439</v>
      </c>
      <c r="D2" s="3568" t="s">
        <v>3440</v>
      </c>
      <c r="E2" s="3559" t="s">
        <v>3441</v>
      </c>
      <c r="F2" s="3560" t="s">
        <v>3442</v>
      </c>
      <c r="G2" s="3560" t="s">
        <v>3443</v>
      </c>
      <c r="H2" s="3559" t="s">
        <v>3444</v>
      </c>
    </row>
    <row r="3" spans="1:8">
      <c r="A3" s="3569">
        <v>1</v>
      </c>
      <c r="B3" s="4007" t="s">
        <v>3553</v>
      </c>
      <c r="C3" s="4005" t="s">
        <v>3554</v>
      </c>
      <c r="D3" s="4006" t="s">
        <v>3555</v>
      </c>
      <c r="E3" s="3587" t="s">
        <v>3556</v>
      </c>
      <c r="F3" s="3573">
        <v>44.95</v>
      </c>
      <c r="G3" s="3570">
        <v>8.19</v>
      </c>
      <c r="H3" s="3571" t="s">
        <v>3557</v>
      </c>
    </row>
    <row r="4" spans="1:8">
      <c r="A4" s="3569">
        <v>2</v>
      </c>
      <c r="B4" s="4003"/>
      <c r="C4" s="4005"/>
      <c r="D4" s="4006"/>
      <c r="E4" s="3587" t="s">
        <v>3558</v>
      </c>
      <c r="F4" s="3573">
        <v>44.95</v>
      </c>
      <c r="G4" s="3570">
        <v>8.19</v>
      </c>
      <c r="H4" s="3571" t="s">
        <v>3557</v>
      </c>
    </row>
    <row r="5" spans="1:8">
      <c r="A5" s="3569">
        <v>3</v>
      </c>
      <c r="B5" s="4003"/>
      <c r="C5" s="4005"/>
      <c r="D5" s="4006"/>
      <c r="E5" s="3587" t="s">
        <v>3559</v>
      </c>
      <c r="F5" s="3573">
        <v>44.95</v>
      </c>
      <c r="G5" s="3570">
        <v>8.19</v>
      </c>
      <c r="H5" s="3571" t="s">
        <v>3557</v>
      </c>
    </row>
    <row r="6" spans="1:8">
      <c r="A6" s="3569">
        <v>4</v>
      </c>
      <c r="B6" s="4003"/>
      <c r="C6" s="4005"/>
      <c r="D6" s="4006"/>
      <c r="E6" s="3587" t="s">
        <v>3560</v>
      </c>
      <c r="F6" s="3573">
        <v>44.95</v>
      </c>
      <c r="G6" s="3570">
        <v>8.19</v>
      </c>
      <c r="H6" s="3571" t="s">
        <v>3557</v>
      </c>
    </row>
    <row r="7" spans="1:8">
      <c r="A7" s="3569">
        <v>5</v>
      </c>
      <c r="B7" s="4003"/>
      <c r="C7" s="4005"/>
      <c r="D7" s="4006"/>
      <c r="E7" s="3587" t="s">
        <v>3561</v>
      </c>
      <c r="F7" s="3573">
        <v>44.95</v>
      </c>
      <c r="G7" s="3570">
        <v>8.19</v>
      </c>
      <c r="H7" s="3571" t="s">
        <v>3557</v>
      </c>
    </row>
    <row r="8" spans="1:8">
      <c r="A8" s="3569">
        <v>6</v>
      </c>
      <c r="B8" s="4003"/>
      <c r="C8" s="4005"/>
      <c r="D8" s="4006"/>
      <c r="E8" s="3587" t="s">
        <v>3562</v>
      </c>
      <c r="F8" s="3573">
        <v>44.95</v>
      </c>
      <c r="G8" s="3570">
        <v>8.19</v>
      </c>
      <c r="H8" s="3571" t="s">
        <v>3557</v>
      </c>
    </row>
    <row r="9" spans="1:8">
      <c r="A9" s="3569">
        <v>7</v>
      </c>
      <c r="B9" s="4003"/>
      <c r="C9" s="4005"/>
      <c r="D9" s="4006"/>
      <c r="E9" s="3587" t="s">
        <v>3563</v>
      </c>
      <c r="F9" s="3573">
        <v>44.95</v>
      </c>
      <c r="G9" s="3570">
        <v>8.19</v>
      </c>
      <c r="H9" s="3571" t="s">
        <v>3557</v>
      </c>
    </row>
    <row r="10" spans="1:8">
      <c r="A10" s="3569">
        <v>8</v>
      </c>
      <c r="B10" s="4003"/>
      <c r="C10" s="4005"/>
      <c r="D10" s="4006"/>
      <c r="E10" s="3587" t="s">
        <v>3564</v>
      </c>
      <c r="F10" s="3573">
        <v>44.95</v>
      </c>
      <c r="G10" s="3570">
        <v>8.19</v>
      </c>
      <c r="H10" s="3571" t="s">
        <v>3557</v>
      </c>
    </row>
    <row r="11" spans="1:8">
      <c r="A11" s="3569">
        <v>9</v>
      </c>
      <c r="B11" s="4003"/>
      <c r="C11" s="4005"/>
      <c r="D11" s="4006"/>
      <c r="E11" s="3587" t="s">
        <v>3565</v>
      </c>
      <c r="F11" s="3573">
        <v>44.95</v>
      </c>
      <c r="G11" s="3570">
        <v>8.19</v>
      </c>
      <c r="H11" s="3571" t="s">
        <v>3557</v>
      </c>
    </row>
    <row r="12" spans="1:8">
      <c r="A12" s="3569">
        <v>10</v>
      </c>
      <c r="B12" s="4003"/>
      <c r="C12" s="4005"/>
      <c r="D12" s="4006"/>
      <c r="E12" s="3587" t="s">
        <v>3566</v>
      </c>
      <c r="F12" s="3573">
        <v>44.95</v>
      </c>
      <c r="G12" s="3570">
        <v>8.19</v>
      </c>
      <c r="H12" s="3571" t="s">
        <v>3557</v>
      </c>
    </row>
    <row r="13" spans="1:8">
      <c r="A13" s="3569">
        <v>11</v>
      </c>
      <c r="B13" s="4003"/>
      <c r="C13" s="4005"/>
      <c r="D13" s="4006"/>
      <c r="E13" s="3587" t="s">
        <v>3567</v>
      </c>
      <c r="F13" s="3573">
        <v>49.03</v>
      </c>
      <c r="G13" s="3570">
        <v>8.93</v>
      </c>
      <c r="H13" s="3571" t="s">
        <v>3557</v>
      </c>
    </row>
    <row r="14" spans="1:8">
      <c r="A14" s="3569">
        <v>12</v>
      </c>
      <c r="B14" s="4003"/>
      <c r="C14" s="4005"/>
      <c r="D14" s="4006"/>
      <c r="E14" s="3587" t="s">
        <v>3568</v>
      </c>
      <c r="F14" s="3573">
        <v>44.95</v>
      </c>
      <c r="G14" s="3570">
        <v>8.19</v>
      </c>
      <c r="H14" s="3571" t="s">
        <v>3557</v>
      </c>
    </row>
    <row r="15" spans="1:8">
      <c r="A15" s="3569">
        <v>13</v>
      </c>
      <c r="B15" s="4003"/>
      <c r="C15" s="4005"/>
      <c r="D15" s="4006"/>
      <c r="E15" s="3587" t="s">
        <v>3569</v>
      </c>
      <c r="F15" s="3573">
        <v>44.95</v>
      </c>
      <c r="G15" s="3570">
        <v>8.19</v>
      </c>
      <c r="H15" s="3571" t="s">
        <v>3557</v>
      </c>
    </row>
    <row r="16" spans="1:8">
      <c r="A16" s="3569">
        <v>14</v>
      </c>
      <c r="B16" s="4003"/>
      <c r="C16" s="4005"/>
      <c r="D16" s="4006"/>
      <c r="E16" s="3587" t="s">
        <v>3570</v>
      </c>
      <c r="F16" s="3573">
        <v>44.95</v>
      </c>
      <c r="G16" s="3570">
        <v>8.19</v>
      </c>
      <c r="H16" s="3571" t="s">
        <v>3557</v>
      </c>
    </row>
    <row r="17" spans="1:8">
      <c r="A17" s="3569">
        <v>15</v>
      </c>
      <c r="B17" s="4003"/>
      <c r="C17" s="4005"/>
      <c r="D17" s="4006"/>
      <c r="E17" s="3587" t="s">
        <v>3571</v>
      </c>
      <c r="F17" s="3573">
        <v>44.95</v>
      </c>
      <c r="G17" s="3570">
        <v>8.18</v>
      </c>
      <c r="H17" s="3571" t="s">
        <v>3557</v>
      </c>
    </row>
    <row r="18" spans="1:8">
      <c r="A18" s="3569">
        <v>16</v>
      </c>
      <c r="B18" s="4003"/>
      <c r="C18" s="4005"/>
      <c r="D18" s="4006"/>
      <c r="E18" s="3587" t="s">
        <v>3572</v>
      </c>
      <c r="F18" s="3573">
        <v>44.95</v>
      </c>
      <c r="G18" s="3570">
        <v>8.18</v>
      </c>
      <c r="H18" s="3571" t="s">
        <v>3557</v>
      </c>
    </row>
    <row r="19" spans="1:8">
      <c r="A19" s="3569">
        <v>17</v>
      </c>
      <c r="B19" s="4003"/>
      <c r="C19" s="4005"/>
      <c r="D19" s="4006"/>
      <c r="E19" s="3587" t="s">
        <v>3573</v>
      </c>
      <c r="F19" s="3573">
        <v>89.9</v>
      </c>
      <c r="G19" s="3570">
        <v>16.37</v>
      </c>
      <c r="H19" s="3571" t="s">
        <v>3557</v>
      </c>
    </row>
    <row r="20" spans="1:8">
      <c r="A20" s="3569">
        <v>18</v>
      </c>
      <c r="B20" s="4003"/>
      <c r="C20" s="4005"/>
      <c r="D20" s="4006"/>
      <c r="E20" s="3587" t="s">
        <v>3574</v>
      </c>
      <c r="F20" s="3573">
        <v>89.9</v>
      </c>
      <c r="G20" s="3570">
        <v>16.37</v>
      </c>
      <c r="H20" s="3571" t="s">
        <v>3557</v>
      </c>
    </row>
    <row r="21" spans="1:8">
      <c r="A21" s="3569">
        <v>19</v>
      </c>
      <c r="B21" s="4003"/>
      <c r="C21" s="4005"/>
      <c r="D21" s="4006"/>
      <c r="E21" s="3587" t="s">
        <v>3575</v>
      </c>
      <c r="F21" s="3573">
        <v>49.03</v>
      </c>
      <c r="G21" s="3570">
        <v>8.93</v>
      </c>
      <c r="H21" s="3571" t="s">
        <v>3557</v>
      </c>
    </row>
    <row r="22" spans="1:8">
      <c r="A22" s="3569">
        <v>20</v>
      </c>
      <c r="B22" s="4003"/>
      <c r="C22" s="4005"/>
      <c r="D22" s="4006"/>
      <c r="E22" s="3587" t="s">
        <v>3576</v>
      </c>
      <c r="F22" s="3573">
        <v>49.03</v>
      </c>
      <c r="G22" s="3570">
        <v>8.93</v>
      </c>
      <c r="H22" s="3571" t="s">
        <v>3557</v>
      </c>
    </row>
    <row r="23" spans="1:8">
      <c r="A23" s="3569">
        <v>21</v>
      </c>
      <c r="B23" s="4003"/>
      <c r="C23" s="4005"/>
      <c r="D23" s="4006"/>
      <c r="E23" s="3587" t="s">
        <v>3577</v>
      </c>
      <c r="F23" s="3573">
        <v>44.95</v>
      </c>
      <c r="G23" s="3570">
        <v>8.18</v>
      </c>
      <c r="H23" s="3571" t="s">
        <v>3557</v>
      </c>
    </row>
    <row r="24" spans="1:8">
      <c r="A24" s="3569">
        <v>22</v>
      </c>
      <c r="B24" s="4003"/>
      <c r="C24" s="4005"/>
      <c r="D24" s="4006"/>
      <c r="E24" s="3587" t="s">
        <v>3578</v>
      </c>
      <c r="F24" s="3573">
        <v>44.95</v>
      </c>
      <c r="G24" s="3570">
        <v>8.18</v>
      </c>
      <c r="H24" s="3571" t="s">
        <v>3557</v>
      </c>
    </row>
    <row r="25" spans="1:8">
      <c r="A25" s="3569">
        <v>23</v>
      </c>
      <c r="B25" s="4003"/>
      <c r="C25" s="4005"/>
      <c r="D25" s="4006"/>
      <c r="E25" s="3587" t="s">
        <v>3579</v>
      </c>
      <c r="F25" s="3573">
        <v>44.95</v>
      </c>
      <c r="G25" s="3570">
        <v>8.18</v>
      </c>
      <c r="H25" s="3571" t="s">
        <v>3557</v>
      </c>
    </row>
    <row r="26" spans="1:8">
      <c r="A26" s="3569">
        <v>24</v>
      </c>
      <c r="B26" s="4003"/>
      <c r="C26" s="4005"/>
      <c r="D26" s="4006"/>
      <c r="E26" s="3587" t="s">
        <v>3580</v>
      </c>
      <c r="F26" s="3573">
        <v>44.95</v>
      </c>
      <c r="G26" s="3570">
        <v>8.18</v>
      </c>
      <c r="H26" s="3571" t="s">
        <v>3557</v>
      </c>
    </row>
    <row r="27" spans="1:8">
      <c r="A27" s="3569">
        <v>25</v>
      </c>
      <c r="B27" s="4003"/>
      <c r="C27" s="4005"/>
      <c r="D27" s="4006"/>
      <c r="E27" s="3587" t="s">
        <v>3581</v>
      </c>
      <c r="F27" s="3573">
        <v>44.95</v>
      </c>
      <c r="G27" s="3570">
        <v>8.18</v>
      </c>
      <c r="H27" s="3571" t="s">
        <v>3557</v>
      </c>
    </row>
    <row r="28" spans="1:8">
      <c r="A28" s="3569">
        <v>26</v>
      </c>
      <c r="B28" s="4003"/>
      <c r="C28" s="4005"/>
      <c r="D28" s="4006"/>
      <c r="E28" s="3587" t="s">
        <v>3582</v>
      </c>
      <c r="F28" s="3573">
        <v>44.95</v>
      </c>
      <c r="G28" s="3570">
        <v>8.18</v>
      </c>
      <c r="H28" s="3571" t="s">
        <v>3557</v>
      </c>
    </row>
    <row r="29" spans="1:8">
      <c r="A29" s="3569">
        <v>27</v>
      </c>
      <c r="B29" s="4003"/>
      <c r="C29" s="4005"/>
      <c r="D29" s="4006"/>
      <c r="E29" s="3587" t="s">
        <v>3583</v>
      </c>
      <c r="F29" s="3573">
        <v>44.95</v>
      </c>
      <c r="G29" s="3570">
        <v>8.18</v>
      </c>
      <c r="H29" s="3571" t="s">
        <v>3557</v>
      </c>
    </row>
    <row r="30" spans="1:8">
      <c r="A30" s="3569">
        <v>28</v>
      </c>
      <c r="B30" s="4003"/>
      <c r="C30" s="4005"/>
      <c r="D30" s="4006"/>
      <c r="E30" s="3587" t="s">
        <v>3584</v>
      </c>
      <c r="F30" s="3573">
        <v>44.95</v>
      </c>
      <c r="G30" s="3570">
        <v>8.18</v>
      </c>
      <c r="H30" s="3571" t="s">
        <v>3557</v>
      </c>
    </row>
    <row r="31" spans="1:8">
      <c r="A31" s="3569">
        <v>29</v>
      </c>
      <c r="B31" s="4003"/>
      <c r="C31" s="4005"/>
      <c r="D31" s="4006"/>
      <c r="E31" s="3587" t="s">
        <v>3585</v>
      </c>
      <c r="F31" s="3573">
        <v>44.95</v>
      </c>
      <c r="G31" s="3570">
        <v>8.18</v>
      </c>
      <c r="H31" s="3571" t="s">
        <v>3557</v>
      </c>
    </row>
    <row r="32" spans="1:8">
      <c r="A32" s="3569">
        <v>30</v>
      </c>
      <c r="B32" s="4003"/>
      <c r="C32" s="4005"/>
      <c r="D32" s="4006"/>
      <c r="E32" s="3587" t="s">
        <v>3586</v>
      </c>
      <c r="F32" s="3573">
        <v>49.03</v>
      </c>
      <c r="G32" s="3570">
        <v>8.93</v>
      </c>
      <c r="H32" s="3571" t="s">
        <v>3557</v>
      </c>
    </row>
    <row r="33" spans="1:8">
      <c r="A33" s="3569">
        <v>31</v>
      </c>
      <c r="B33" s="4003"/>
      <c r="C33" s="4005"/>
      <c r="D33" s="4006"/>
      <c r="E33" s="3587" t="s">
        <v>3587</v>
      </c>
      <c r="F33" s="3573">
        <v>49.03</v>
      </c>
      <c r="G33" s="3570">
        <v>8.93</v>
      </c>
      <c r="H33" s="3571" t="s">
        <v>3557</v>
      </c>
    </row>
    <row r="34" spans="1:8">
      <c r="A34" s="3569">
        <v>32</v>
      </c>
      <c r="B34" s="4003"/>
      <c r="C34" s="4005"/>
      <c r="D34" s="4006"/>
      <c r="E34" s="3587" t="s">
        <v>3588</v>
      </c>
      <c r="F34" s="3573">
        <v>49.03</v>
      </c>
      <c r="G34" s="3570">
        <v>8.93</v>
      </c>
      <c r="H34" s="3571" t="s">
        <v>3557</v>
      </c>
    </row>
    <row r="35" spans="1:8">
      <c r="A35" s="3569">
        <v>33</v>
      </c>
      <c r="B35" s="4003"/>
      <c r="C35" s="4005"/>
      <c r="D35" s="4006"/>
      <c r="E35" s="3587" t="s">
        <v>3589</v>
      </c>
      <c r="F35" s="3573">
        <v>44.95</v>
      </c>
      <c r="G35" s="3570">
        <v>8.18</v>
      </c>
      <c r="H35" s="3571" t="s">
        <v>3557</v>
      </c>
    </row>
    <row r="36" spans="1:8">
      <c r="A36" s="3569">
        <v>34</v>
      </c>
      <c r="B36" s="4003"/>
      <c r="C36" s="4005"/>
      <c r="D36" s="4006"/>
      <c r="E36" s="3587" t="s">
        <v>3590</v>
      </c>
      <c r="F36" s="3573">
        <v>44.95</v>
      </c>
      <c r="G36" s="3570">
        <v>8.18</v>
      </c>
      <c r="H36" s="3571" t="s">
        <v>3557</v>
      </c>
    </row>
    <row r="37" spans="1:8">
      <c r="A37" s="3569">
        <v>35</v>
      </c>
      <c r="B37" s="4003"/>
      <c r="C37" s="4005"/>
      <c r="D37" s="4006"/>
      <c r="E37" s="3587" t="s">
        <v>3591</v>
      </c>
      <c r="F37" s="3573">
        <v>44.95</v>
      </c>
      <c r="G37" s="3570">
        <v>8.18</v>
      </c>
      <c r="H37" s="3571" t="s">
        <v>3557</v>
      </c>
    </row>
    <row r="38" spans="1:8">
      <c r="A38" s="3569">
        <v>36</v>
      </c>
      <c r="B38" s="4003"/>
      <c r="C38" s="4005"/>
      <c r="D38" s="4006"/>
      <c r="E38" s="3572" t="s">
        <v>3592</v>
      </c>
      <c r="F38" s="3573">
        <v>44.95</v>
      </c>
      <c r="G38" s="3570">
        <v>8.18</v>
      </c>
      <c r="H38" s="3571" t="s">
        <v>3557</v>
      </c>
    </row>
    <row r="39" spans="1:8">
      <c r="A39" s="3569">
        <v>37</v>
      </c>
      <c r="B39" s="4004"/>
      <c r="C39" s="4005"/>
      <c r="D39" s="4006"/>
      <c r="E39" s="3572" t="s">
        <v>3593</v>
      </c>
      <c r="F39" s="3573">
        <v>44.95</v>
      </c>
      <c r="G39" s="3570">
        <v>8.18</v>
      </c>
      <c r="H39" s="3571" t="s">
        <v>3557</v>
      </c>
    </row>
    <row r="40" spans="1:8">
      <c r="A40" s="3569">
        <v>38</v>
      </c>
      <c r="B40" s="4007" t="s">
        <v>3553</v>
      </c>
      <c r="C40" s="4005" t="s">
        <v>3554</v>
      </c>
      <c r="D40" s="4006" t="s">
        <v>3555</v>
      </c>
      <c r="E40" s="3572" t="s">
        <v>3594</v>
      </c>
      <c r="F40" s="3573">
        <v>44.95</v>
      </c>
      <c r="G40" s="3570">
        <v>8.18</v>
      </c>
      <c r="H40" s="3571" t="s">
        <v>3557</v>
      </c>
    </row>
    <row r="41" spans="1:8">
      <c r="A41" s="3569">
        <v>39</v>
      </c>
      <c r="B41" s="4003"/>
      <c r="C41" s="4005"/>
      <c r="D41" s="4006"/>
      <c r="E41" s="3572" t="s">
        <v>3595</v>
      </c>
      <c r="F41" s="3573">
        <v>44.95</v>
      </c>
      <c r="G41" s="3570">
        <v>8.18</v>
      </c>
      <c r="H41" s="3571" t="s">
        <v>3557</v>
      </c>
    </row>
    <row r="42" spans="1:8">
      <c r="A42" s="3569">
        <v>40</v>
      </c>
      <c r="B42" s="4003"/>
      <c r="C42" s="4005"/>
      <c r="D42" s="4006"/>
      <c r="E42" s="3572" t="s">
        <v>3596</v>
      </c>
      <c r="F42" s="3573">
        <v>44.95</v>
      </c>
      <c r="G42" s="3570">
        <v>8.18</v>
      </c>
      <c r="H42" s="3571" t="s">
        <v>3557</v>
      </c>
    </row>
    <row r="43" spans="1:8">
      <c r="A43" s="3569">
        <v>41</v>
      </c>
      <c r="B43" s="4003"/>
      <c r="C43" s="4005"/>
      <c r="D43" s="4006"/>
      <c r="E43" s="3572" t="s">
        <v>3597</v>
      </c>
      <c r="F43" s="3573">
        <v>44.95</v>
      </c>
      <c r="G43" s="3570">
        <v>8.18</v>
      </c>
      <c r="H43" s="3571" t="s">
        <v>3557</v>
      </c>
    </row>
    <row r="44" spans="1:8">
      <c r="A44" s="3569">
        <v>42</v>
      </c>
      <c r="B44" s="4003"/>
      <c r="C44" s="4005"/>
      <c r="D44" s="4006"/>
      <c r="E44" s="3572" t="s">
        <v>3598</v>
      </c>
      <c r="F44" s="3573">
        <v>44.95</v>
      </c>
      <c r="G44" s="3570">
        <v>8.18</v>
      </c>
      <c r="H44" s="3571" t="s">
        <v>3557</v>
      </c>
    </row>
    <row r="45" spans="1:8">
      <c r="A45" s="3569">
        <v>43</v>
      </c>
      <c r="B45" s="4003"/>
      <c r="C45" s="4005"/>
      <c r="D45" s="4006"/>
      <c r="E45" s="3572" t="s">
        <v>3599</v>
      </c>
      <c r="F45" s="3573">
        <v>44.95</v>
      </c>
      <c r="G45" s="3570">
        <v>8.18</v>
      </c>
      <c r="H45" s="3571" t="s">
        <v>3557</v>
      </c>
    </row>
    <row r="46" spans="1:8">
      <c r="A46" s="3569">
        <v>44</v>
      </c>
      <c r="B46" s="4003"/>
      <c r="C46" s="4005"/>
      <c r="D46" s="4006"/>
      <c r="E46" s="3572" t="s">
        <v>3600</v>
      </c>
      <c r="F46" s="3573">
        <v>44.95</v>
      </c>
      <c r="G46" s="3570">
        <v>8.18</v>
      </c>
      <c r="H46" s="3571" t="s">
        <v>3557</v>
      </c>
    </row>
    <row r="47" spans="1:8">
      <c r="A47" s="3569">
        <v>45</v>
      </c>
      <c r="B47" s="4003"/>
      <c r="C47" s="4005"/>
      <c r="D47" s="4006"/>
      <c r="E47" s="3572" t="s">
        <v>3601</v>
      </c>
      <c r="F47" s="3573">
        <v>44.95</v>
      </c>
      <c r="G47" s="3570">
        <v>8.18</v>
      </c>
      <c r="H47" s="3571" t="s">
        <v>3557</v>
      </c>
    </row>
    <row r="48" spans="1:8">
      <c r="A48" s="3569">
        <v>46</v>
      </c>
      <c r="B48" s="4003"/>
      <c r="C48" s="4005"/>
      <c r="D48" s="4006"/>
      <c r="E48" s="3572" t="s">
        <v>3602</v>
      </c>
      <c r="F48" s="3573">
        <v>44.95</v>
      </c>
      <c r="G48" s="3570">
        <v>8.18</v>
      </c>
      <c r="H48" s="3571" t="s">
        <v>3557</v>
      </c>
    </row>
    <row r="49" spans="1:8">
      <c r="A49" s="3569">
        <v>47</v>
      </c>
      <c r="B49" s="4003"/>
      <c r="C49" s="4005"/>
      <c r="D49" s="4006"/>
      <c r="E49" s="3572" t="s">
        <v>3603</v>
      </c>
      <c r="F49" s="3573">
        <v>44.95</v>
      </c>
      <c r="G49" s="3570">
        <v>8.18</v>
      </c>
      <c r="H49" s="3571" t="s">
        <v>3557</v>
      </c>
    </row>
    <row r="50" spans="1:8">
      <c r="A50" s="3569">
        <v>48</v>
      </c>
      <c r="B50" s="4003"/>
      <c r="C50" s="4005"/>
      <c r="D50" s="4006"/>
      <c r="E50" s="3587" t="s">
        <v>3604</v>
      </c>
      <c r="F50" s="3573">
        <v>44.95</v>
      </c>
      <c r="G50" s="3570">
        <v>8.18</v>
      </c>
      <c r="H50" s="3571" t="s">
        <v>3557</v>
      </c>
    </row>
    <row r="51" spans="1:8">
      <c r="A51" s="3569">
        <v>49</v>
      </c>
      <c r="B51" s="4003"/>
      <c r="C51" s="4005"/>
      <c r="D51" s="4006"/>
      <c r="E51" s="3587" t="s">
        <v>3605</v>
      </c>
      <c r="F51" s="3573">
        <v>44.95</v>
      </c>
      <c r="G51" s="3570">
        <v>8.18</v>
      </c>
      <c r="H51" s="3571" t="s">
        <v>3557</v>
      </c>
    </row>
    <row r="52" spans="1:8">
      <c r="A52" s="3569">
        <v>50</v>
      </c>
      <c r="B52" s="4003"/>
      <c r="C52" s="4005"/>
      <c r="D52" s="4006"/>
      <c r="E52" s="3572" t="s">
        <v>3606</v>
      </c>
      <c r="F52" s="3573">
        <v>44.95</v>
      </c>
      <c r="G52" s="3570">
        <v>8.18</v>
      </c>
      <c r="H52" s="3571" t="s">
        <v>3557</v>
      </c>
    </row>
    <row r="53" spans="1:8">
      <c r="A53" s="3569">
        <v>51</v>
      </c>
      <c r="B53" s="4003"/>
      <c r="C53" s="4005"/>
      <c r="D53" s="4006"/>
      <c r="E53" s="3572" t="s">
        <v>3607</v>
      </c>
      <c r="F53" s="3573">
        <v>49.03</v>
      </c>
      <c r="G53" s="3570">
        <v>8.93</v>
      </c>
      <c r="H53" s="3571" t="s">
        <v>3557</v>
      </c>
    </row>
    <row r="54" spans="1:8">
      <c r="A54" s="3569">
        <v>52</v>
      </c>
      <c r="B54" s="4003"/>
      <c r="C54" s="4005"/>
      <c r="D54" s="4006"/>
      <c r="E54" s="3572" t="s">
        <v>3608</v>
      </c>
      <c r="F54" s="3573">
        <v>44.95</v>
      </c>
      <c r="G54" s="3570">
        <v>8.18</v>
      </c>
      <c r="H54" s="3571" t="s">
        <v>3557</v>
      </c>
    </row>
    <row r="55" spans="1:8">
      <c r="A55" s="3569">
        <v>53</v>
      </c>
      <c r="B55" s="4003"/>
      <c r="C55" s="4005"/>
      <c r="D55" s="4006"/>
      <c r="E55" s="3587" t="s">
        <v>3609</v>
      </c>
      <c r="F55" s="3573">
        <v>44.95</v>
      </c>
      <c r="G55" s="3570">
        <v>8.18</v>
      </c>
      <c r="H55" s="3571" t="s">
        <v>3557</v>
      </c>
    </row>
    <row r="56" spans="1:8">
      <c r="A56" s="3569">
        <v>54</v>
      </c>
      <c r="B56" s="4003"/>
      <c r="C56" s="4005"/>
      <c r="D56" s="4006"/>
      <c r="E56" s="3572" t="s">
        <v>3610</v>
      </c>
      <c r="F56" s="3573">
        <v>44.95</v>
      </c>
      <c r="G56" s="3570">
        <v>8.18</v>
      </c>
      <c r="H56" s="3571" t="s">
        <v>3557</v>
      </c>
    </row>
    <row r="57" spans="1:8">
      <c r="A57" s="3569">
        <v>55</v>
      </c>
      <c r="B57" s="4003"/>
      <c r="C57" s="4005"/>
      <c r="D57" s="4006"/>
      <c r="E57" s="3572" t="s">
        <v>3611</v>
      </c>
      <c r="F57" s="3573">
        <v>44.95</v>
      </c>
      <c r="G57" s="3570">
        <v>8.18</v>
      </c>
      <c r="H57" s="3571" t="s">
        <v>3557</v>
      </c>
    </row>
    <row r="58" spans="1:8">
      <c r="A58" s="3569">
        <v>56</v>
      </c>
      <c r="B58" s="4003"/>
      <c r="C58" s="4005"/>
      <c r="D58" s="4006"/>
      <c r="E58" s="3572" t="s">
        <v>3612</v>
      </c>
      <c r="F58" s="3573">
        <v>44.95</v>
      </c>
      <c r="G58" s="3570">
        <v>8.18</v>
      </c>
      <c r="H58" s="3571" t="s">
        <v>3557</v>
      </c>
    </row>
    <row r="59" spans="1:8">
      <c r="A59" s="3569">
        <v>57</v>
      </c>
      <c r="B59" s="4003"/>
      <c r="C59" s="4005"/>
      <c r="D59" s="4006"/>
      <c r="E59" s="3572" t="s">
        <v>3613</v>
      </c>
      <c r="F59" s="3573">
        <v>44.95</v>
      </c>
      <c r="G59" s="3570">
        <v>8.18</v>
      </c>
      <c r="H59" s="3571" t="s">
        <v>3557</v>
      </c>
    </row>
    <row r="60" spans="1:8">
      <c r="A60" s="3569">
        <v>58</v>
      </c>
      <c r="B60" s="4003"/>
      <c r="C60" s="4005"/>
      <c r="D60" s="4006"/>
      <c r="E60" s="3572" t="s">
        <v>3614</v>
      </c>
      <c r="F60" s="3573">
        <v>44.95</v>
      </c>
      <c r="G60" s="3570">
        <v>8.18</v>
      </c>
      <c r="H60" s="3571" t="s">
        <v>3557</v>
      </c>
    </row>
    <row r="61" spans="1:8">
      <c r="A61" s="3569">
        <v>59</v>
      </c>
      <c r="B61" s="4003"/>
      <c r="C61" s="4005"/>
      <c r="D61" s="4006"/>
      <c r="E61" s="3572" t="s">
        <v>3615</v>
      </c>
      <c r="F61" s="3573">
        <v>44.95</v>
      </c>
      <c r="G61" s="3570">
        <v>8.18</v>
      </c>
      <c r="H61" s="3571" t="s">
        <v>3557</v>
      </c>
    </row>
    <row r="62" spans="1:8">
      <c r="A62" s="3569">
        <v>60</v>
      </c>
      <c r="B62" s="4003"/>
      <c r="C62" s="4005"/>
      <c r="D62" s="4006"/>
      <c r="E62" s="3572" t="s">
        <v>3616</v>
      </c>
      <c r="F62" s="3573">
        <v>44.95</v>
      </c>
      <c r="G62" s="3570">
        <v>8.18</v>
      </c>
      <c r="H62" s="3571" t="s">
        <v>3557</v>
      </c>
    </row>
    <row r="63" spans="1:8">
      <c r="A63" s="3569">
        <v>61</v>
      </c>
      <c r="B63" s="4003"/>
      <c r="C63" s="4005"/>
      <c r="D63" s="4006"/>
      <c r="E63" s="3572" t="s">
        <v>3617</v>
      </c>
      <c r="F63" s="3573">
        <v>44.95</v>
      </c>
      <c r="G63" s="3570">
        <v>8.18</v>
      </c>
      <c r="H63" s="3571" t="s">
        <v>3557</v>
      </c>
    </row>
    <row r="64" spans="1:8">
      <c r="A64" s="3569">
        <v>62</v>
      </c>
      <c r="B64" s="4003"/>
      <c r="C64" s="4005"/>
      <c r="D64" s="4006"/>
      <c r="E64" s="3572" t="s">
        <v>3618</v>
      </c>
      <c r="F64" s="3573">
        <v>44.95</v>
      </c>
      <c r="G64" s="3570">
        <v>8.18</v>
      </c>
      <c r="H64" s="3571" t="s">
        <v>3557</v>
      </c>
    </row>
    <row r="65" spans="1:8">
      <c r="A65" s="3569">
        <v>63</v>
      </c>
      <c r="B65" s="4003"/>
      <c r="C65" s="4005"/>
      <c r="D65" s="4006"/>
      <c r="E65" s="3572" t="s">
        <v>3619</v>
      </c>
      <c r="F65" s="3573">
        <v>44.95</v>
      </c>
      <c r="G65" s="3570">
        <v>8.18</v>
      </c>
      <c r="H65" s="3571" t="s">
        <v>3557</v>
      </c>
    </row>
    <row r="66" spans="1:8">
      <c r="A66" s="3569">
        <v>64</v>
      </c>
      <c r="B66" s="4003"/>
      <c r="C66" s="4005"/>
      <c r="D66" s="4006"/>
      <c r="E66" s="3572" t="s">
        <v>3620</v>
      </c>
      <c r="F66" s="3573">
        <v>44.95</v>
      </c>
      <c r="G66" s="3570">
        <v>8.18</v>
      </c>
      <c r="H66" s="3571" t="s">
        <v>3557</v>
      </c>
    </row>
    <row r="67" spans="1:8">
      <c r="A67" s="3569">
        <v>65</v>
      </c>
      <c r="B67" s="4003"/>
      <c r="C67" s="4005"/>
      <c r="D67" s="4006"/>
      <c r="E67" s="3572" t="s">
        <v>3621</v>
      </c>
      <c r="F67" s="3573">
        <v>44.95</v>
      </c>
      <c r="G67" s="3570">
        <v>8.18</v>
      </c>
      <c r="H67" s="3571" t="s">
        <v>3557</v>
      </c>
    </row>
    <row r="68" spans="1:8">
      <c r="A68" s="3569">
        <v>66</v>
      </c>
      <c r="B68" s="4003"/>
      <c r="C68" s="4005"/>
      <c r="D68" s="4006"/>
      <c r="E68" s="3572" t="s">
        <v>3622</v>
      </c>
      <c r="F68" s="3573">
        <v>44.95</v>
      </c>
      <c r="G68" s="3570">
        <v>8.18</v>
      </c>
      <c r="H68" s="3571" t="s">
        <v>3557</v>
      </c>
    </row>
    <row r="69" spans="1:8">
      <c r="A69" s="3569">
        <v>67</v>
      </c>
      <c r="B69" s="4003"/>
      <c r="C69" s="4005"/>
      <c r="D69" s="4006"/>
      <c r="E69" s="3572" t="s">
        <v>3623</v>
      </c>
      <c r="F69" s="3573">
        <v>44.95</v>
      </c>
      <c r="G69" s="3570">
        <v>8.18</v>
      </c>
      <c r="H69" s="3571" t="s">
        <v>3557</v>
      </c>
    </row>
    <row r="70" spans="1:8">
      <c r="A70" s="3569">
        <v>68</v>
      </c>
      <c r="B70" s="4003"/>
      <c r="C70" s="4005"/>
      <c r="D70" s="4006"/>
      <c r="E70" s="3572" t="s">
        <v>3624</v>
      </c>
      <c r="F70" s="3573">
        <v>44.95</v>
      </c>
      <c r="G70" s="3570">
        <v>8.18</v>
      </c>
      <c r="H70" s="3571" t="s">
        <v>3557</v>
      </c>
    </row>
    <row r="71" spans="1:8">
      <c r="A71" s="3569">
        <v>69</v>
      </c>
      <c r="B71" s="4003"/>
      <c r="C71" s="4005"/>
      <c r="D71" s="4006"/>
      <c r="E71" s="3572" t="s">
        <v>3625</v>
      </c>
      <c r="F71" s="3573">
        <v>44.95</v>
      </c>
      <c r="G71" s="3570">
        <v>8.18</v>
      </c>
      <c r="H71" s="3571" t="s">
        <v>3557</v>
      </c>
    </row>
    <row r="72" spans="1:8">
      <c r="A72" s="3569">
        <v>70</v>
      </c>
      <c r="B72" s="4003"/>
      <c r="C72" s="4005"/>
      <c r="D72" s="4006"/>
      <c r="E72" s="3572" t="s">
        <v>3626</v>
      </c>
      <c r="F72" s="3573">
        <v>49.03</v>
      </c>
      <c r="G72" s="3570">
        <v>8.93</v>
      </c>
      <c r="H72" s="3571" t="s">
        <v>3557</v>
      </c>
    </row>
    <row r="73" spans="1:8">
      <c r="A73" s="3569">
        <v>71</v>
      </c>
      <c r="B73" s="4003"/>
      <c r="C73" s="4005"/>
      <c r="D73" s="4006"/>
      <c r="E73" s="3572" t="s">
        <v>3627</v>
      </c>
      <c r="F73" s="3573">
        <v>44.95</v>
      </c>
      <c r="G73" s="3570">
        <v>8.18</v>
      </c>
      <c r="H73" s="3571" t="s">
        <v>3557</v>
      </c>
    </row>
    <row r="74" spans="1:8">
      <c r="A74" s="3569">
        <v>72</v>
      </c>
      <c r="B74" s="4003"/>
      <c r="C74" s="4005"/>
      <c r="D74" s="4006"/>
      <c r="E74" s="3572" t="s">
        <v>3628</v>
      </c>
      <c r="F74" s="3573">
        <v>44.95</v>
      </c>
      <c r="G74" s="3570">
        <v>8.18</v>
      </c>
      <c r="H74" s="3571" t="s">
        <v>3557</v>
      </c>
    </row>
    <row r="75" spans="1:8">
      <c r="A75" s="3569">
        <v>73</v>
      </c>
      <c r="B75" s="4003"/>
      <c r="C75" s="4005"/>
      <c r="D75" s="4006"/>
      <c r="E75" s="3572" t="s">
        <v>3629</v>
      </c>
      <c r="F75" s="3573">
        <v>44.95</v>
      </c>
      <c r="G75" s="3570">
        <v>8.18</v>
      </c>
      <c r="H75" s="3571" t="s">
        <v>3557</v>
      </c>
    </row>
    <row r="76" spans="1:8">
      <c r="A76" s="3569">
        <v>74</v>
      </c>
      <c r="B76" s="4004"/>
      <c r="C76" s="4005"/>
      <c r="D76" s="4006"/>
      <c r="E76" s="3572" t="s">
        <v>3630</v>
      </c>
      <c r="F76" s="3573">
        <v>44.95</v>
      </c>
      <c r="G76" s="3570">
        <v>8.18</v>
      </c>
      <c r="H76" s="3571" t="s">
        <v>3557</v>
      </c>
    </row>
    <row r="77" spans="1:8">
      <c r="A77" s="3569">
        <v>75</v>
      </c>
      <c r="B77" s="4007" t="s">
        <v>3553</v>
      </c>
      <c r="C77" s="4005" t="s">
        <v>3554</v>
      </c>
      <c r="D77" s="4006" t="s">
        <v>3555</v>
      </c>
      <c r="E77" s="3572" t="s">
        <v>3631</v>
      </c>
      <c r="F77" s="3573">
        <v>44.95</v>
      </c>
      <c r="G77" s="3570">
        <v>8.18</v>
      </c>
      <c r="H77" s="3571" t="s">
        <v>3557</v>
      </c>
    </row>
    <row r="78" spans="1:8">
      <c r="A78" s="3569">
        <v>76</v>
      </c>
      <c r="B78" s="4003"/>
      <c r="C78" s="4005"/>
      <c r="D78" s="4006"/>
      <c r="E78" s="3572" t="s">
        <v>3632</v>
      </c>
      <c r="F78" s="3573">
        <v>73.14</v>
      </c>
      <c r="G78" s="3570">
        <v>13.32</v>
      </c>
      <c r="H78" s="3571" t="s">
        <v>3557</v>
      </c>
    </row>
    <row r="79" spans="1:8">
      <c r="A79" s="3569">
        <v>77</v>
      </c>
      <c r="B79" s="4003"/>
      <c r="C79" s="4005"/>
      <c r="D79" s="4006"/>
      <c r="E79" s="3572" t="s">
        <v>3633</v>
      </c>
      <c r="F79" s="3573">
        <v>44.95</v>
      </c>
      <c r="G79" s="3570">
        <v>8.18</v>
      </c>
      <c r="H79" s="3571" t="s">
        <v>3557</v>
      </c>
    </row>
    <row r="80" spans="1:8">
      <c r="A80" s="3569">
        <v>78</v>
      </c>
      <c r="B80" s="4003"/>
      <c r="C80" s="4005"/>
      <c r="D80" s="4006"/>
      <c r="E80" s="3572" t="s">
        <v>3634</v>
      </c>
      <c r="F80" s="3573">
        <v>44.95</v>
      </c>
      <c r="G80" s="3570">
        <v>8.18</v>
      </c>
      <c r="H80" s="3571" t="s">
        <v>3557</v>
      </c>
    </row>
    <row r="81" spans="1:8">
      <c r="A81" s="3569">
        <v>79</v>
      </c>
      <c r="B81" s="4003"/>
      <c r="C81" s="4005"/>
      <c r="D81" s="4006"/>
      <c r="E81" s="3572" t="s">
        <v>3635</v>
      </c>
      <c r="F81" s="3573">
        <v>44.95</v>
      </c>
      <c r="G81" s="3570">
        <v>8.18</v>
      </c>
      <c r="H81" s="3571" t="s">
        <v>3557</v>
      </c>
    </row>
    <row r="82" spans="1:8">
      <c r="A82" s="3569">
        <v>80</v>
      </c>
      <c r="B82" s="4003"/>
      <c r="C82" s="4005"/>
      <c r="D82" s="4006"/>
      <c r="E82" s="3572" t="s">
        <v>3636</v>
      </c>
      <c r="F82" s="3573">
        <v>44.95</v>
      </c>
      <c r="G82" s="3570">
        <v>8.18</v>
      </c>
      <c r="H82" s="3571" t="s">
        <v>3557</v>
      </c>
    </row>
    <row r="83" spans="1:8">
      <c r="A83" s="3569">
        <v>81</v>
      </c>
      <c r="B83" s="4003"/>
      <c r="C83" s="4005"/>
      <c r="D83" s="4006"/>
      <c r="E83" s="3572" t="s">
        <v>3637</v>
      </c>
      <c r="F83" s="3573">
        <v>44.95</v>
      </c>
      <c r="G83" s="3570">
        <v>8.18</v>
      </c>
      <c r="H83" s="3571" t="s">
        <v>3557</v>
      </c>
    </row>
    <row r="84" spans="1:8">
      <c r="A84" s="3569">
        <v>82</v>
      </c>
      <c r="B84" s="4003"/>
      <c r="C84" s="4005"/>
      <c r="D84" s="4006"/>
      <c r="E84" s="3572" t="s">
        <v>3638</v>
      </c>
      <c r="F84" s="3573">
        <v>73.14</v>
      </c>
      <c r="G84" s="3570">
        <v>13.32</v>
      </c>
      <c r="H84" s="3571" t="s">
        <v>3557</v>
      </c>
    </row>
    <row r="85" spans="1:8">
      <c r="A85" s="3569">
        <v>83</v>
      </c>
      <c r="B85" s="4003"/>
      <c r="C85" s="4005"/>
      <c r="D85" s="4006"/>
      <c r="E85" s="3572" t="s">
        <v>3639</v>
      </c>
      <c r="F85" s="3573">
        <v>44.95</v>
      </c>
      <c r="G85" s="3570">
        <v>8.18</v>
      </c>
      <c r="H85" s="3571" t="s">
        <v>3557</v>
      </c>
    </row>
    <row r="86" spans="1:8">
      <c r="A86" s="3569">
        <v>84</v>
      </c>
      <c r="B86" s="4003"/>
      <c r="C86" s="4005"/>
      <c r="D86" s="4006"/>
      <c r="E86" s="3572" t="s">
        <v>3640</v>
      </c>
      <c r="F86" s="3573">
        <v>44.95</v>
      </c>
      <c r="G86" s="3570">
        <v>8.18</v>
      </c>
      <c r="H86" s="3571" t="s">
        <v>3557</v>
      </c>
    </row>
    <row r="87" spans="1:8">
      <c r="A87" s="3569">
        <v>85</v>
      </c>
      <c r="B87" s="4003"/>
      <c r="C87" s="4005"/>
      <c r="D87" s="4006"/>
      <c r="E87" s="3572" t="s">
        <v>3641</v>
      </c>
      <c r="F87" s="3573">
        <v>44.95</v>
      </c>
      <c r="G87" s="3570">
        <v>8.18</v>
      </c>
      <c r="H87" s="3571" t="s">
        <v>3557</v>
      </c>
    </row>
    <row r="88" spans="1:8">
      <c r="A88" s="3569">
        <v>86</v>
      </c>
      <c r="B88" s="4003"/>
      <c r="C88" s="4005"/>
      <c r="D88" s="4006"/>
      <c r="E88" s="3572" t="s">
        <v>3642</v>
      </c>
      <c r="F88" s="3573">
        <v>44.95</v>
      </c>
      <c r="G88" s="3570">
        <v>8.18</v>
      </c>
      <c r="H88" s="3571" t="s">
        <v>3557</v>
      </c>
    </row>
    <row r="89" spans="1:8">
      <c r="A89" s="3569">
        <v>87</v>
      </c>
      <c r="B89" s="4003"/>
      <c r="C89" s="4005"/>
      <c r="D89" s="4006"/>
      <c r="E89" s="3572" t="s">
        <v>3643</v>
      </c>
      <c r="F89" s="3573">
        <v>89.9</v>
      </c>
      <c r="G89" s="3570">
        <v>16.37</v>
      </c>
      <c r="H89" s="3571" t="s">
        <v>3557</v>
      </c>
    </row>
    <row r="90" spans="1:8">
      <c r="A90" s="3569">
        <v>88</v>
      </c>
      <c r="B90" s="4003"/>
      <c r="C90" s="4005"/>
      <c r="D90" s="4006"/>
      <c r="E90" s="3572" t="s">
        <v>3644</v>
      </c>
      <c r="F90" s="3573">
        <v>89.9</v>
      </c>
      <c r="G90" s="3570">
        <v>16.37</v>
      </c>
      <c r="H90" s="3571" t="s">
        <v>3557</v>
      </c>
    </row>
    <row r="91" spans="1:8">
      <c r="A91" s="3569">
        <v>89</v>
      </c>
      <c r="B91" s="4003"/>
      <c r="C91" s="4005"/>
      <c r="D91" s="4006"/>
      <c r="E91" s="3572" t="s">
        <v>3645</v>
      </c>
      <c r="F91" s="3573">
        <v>89.9</v>
      </c>
      <c r="G91" s="3570">
        <v>16.37</v>
      </c>
      <c r="H91" s="3571" t="s">
        <v>3557</v>
      </c>
    </row>
    <row r="92" spans="1:8">
      <c r="A92" s="3569">
        <v>90</v>
      </c>
      <c r="B92" s="4003"/>
      <c r="C92" s="4005"/>
      <c r="D92" s="4006"/>
      <c r="E92" s="3572" t="s">
        <v>3646</v>
      </c>
      <c r="F92" s="3573">
        <v>49.03</v>
      </c>
      <c r="G92" s="3570">
        <v>8.93</v>
      </c>
      <c r="H92" s="3571" t="s">
        <v>3557</v>
      </c>
    </row>
    <row r="93" spans="1:8">
      <c r="A93" s="3569">
        <v>91</v>
      </c>
      <c r="B93" s="4003"/>
      <c r="C93" s="4005"/>
      <c r="D93" s="4006"/>
      <c r="E93" s="3572" t="s">
        <v>3647</v>
      </c>
      <c r="F93" s="3573">
        <v>89.9</v>
      </c>
      <c r="G93" s="3570">
        <v>16.37</v>
      </c>
      <c r="H93" s="3571" t="s">
        <v>3557</v>
      </c>
    </row>
    <row r="94" spans="1:8">
      <c r="A94" s="3569">
        <v>92</v>
      </c>
      <c r="B94" s="4003"/>
      <c r="C94" s="4005"/>
      <c r="D94" s="4006"/>
      <c r="E94" s="3572" t="s">
        <v>3648</v>
      </c>
      <c r="F94" s="3573">
        <v>89.9</v>
      </c>
      <c r="G94" s="3570">
        <v>16.37</v>
      </c>
      <c r="H94" s="3571" t="s">
        <v>3557</v>
      </c>
    </row>
    <row r="95" spans="1:8">
      <c r="A95" s="3569">
        <v>93</v>
      </c>
      <c r="B95" s="4003"/>
      <c r="C95" s="4005"/>
      <c r="D95" s="4006"/>
      <c r="E95" s="3572" t="s">
        <v>3649</v>
      </c>
      <c r="F95" s="3573">
        <v>89.9</v>
      </c>
      <c r="G95" s="3570">
        <v>16.37</v>
      </c>
      <c r="H95" s="3571" t="s">
        <v>3557</v>
      </c>
    </row>
    <row r="96" spans="1:8">
      <c r="A96" s="3569">
        <v>94</v>
      </c>
      <c r="B96" s="4003"/>
      <c r="C96" s="4005"/>
      <c r="D96" s="4006"/>
      <c r="E96" s="3572" t="s">
        <v>3650</v>
      </c>
      <c r="F96" s="3573">
        <v>44.95</v>
      </c>
      <c r="G96" s="3570">
        <v>8.18</v>
      </c>
      <c r="H96" s="3571" t="s">
        <v>3557</v>
      </c>
    </row>
    <row r="97" spans="1:8">
      <c r="A97" s="3569">
        <v>95</v>
      </c>
      <c r="B97" s="4003"/>
      <c r="C97" s="4005"/>
      <c r="D97" s="4006"/>
      <c r="E97" s="3572" t="s">
        <v>3654</v>
      </c>
      <c r="F97" s="3573">
        <v>44.95</v>
      </c>
      <c r="G97" s="3570">
        <v>8.18</v>
      </c>
      <c r="H97" s="3571" t="s">
        <v>3557</v>
      </c>
    </row>
    <row r="98" spans="1:8">
      <c r="A98" s="3569">
        <v>96</v>
      </c>
      <c r="B98" s="4003"/>
      <c r="C98" s="4005"/>
      <c r="D98" s="4006"/>
      <c r="E98" s="3572" t="s">
        <v>3655</v>
      </c>
      <c r="F98" s="3573">
        <v>49.03</v>
      </c>
      <c r="G98" s="3570">
        <v>8.93</v>
      </c>
      <c r="H98" s="3571" t="s">
        <v>3557</v>
      </c>
    </row>
    <row r="99" spans="1:8">
      <c r="A99" s="3569">
        <v>97</v>
      </c>
      <c r="B99" s="4003"/>
      <c r="C99" s="4005"/>
      <c r="D99" s="4006"/>
      <c r="E99" s="3572" t="s">
        <v>3657</v>
      </c>
      <c r="F99" s="3573">
        <v>89.9</v>
      </c>
      <c r="G99" s="3570">
        <v>16.37</v>
      </c>
      <c r="H99" s="3571" t="s">
        <v>3557</v>
      </c>
    </row>
    <row r="100" spans="1:8">
      <c r="A100" s="3569">
        <v>98</v>
      </c>
      <c r="B100" s="4003"/>
      <c r="C100" s="4005"/>
      <c r="D100" s="4006"/>
      <c r="E100" s="3572" t="s">
        <v>3659</v>
      </c>
      <c r="F100" s="3573">
        <v>44.95</v>
      </c>
      <c r="G100" s="3570">
        <v>8.18</v>
      </c>
      <c r="H100" s="3571" t="s">
        <v>3557</v>
      </c>
    </row>
    <row r="101" spans="1:8">
      <c r="A101" s="3569">
        <v>99</v>
      </c>
      <c r="B101" s="4003"/>
      <c r="C101" s="4005"/>
      <c r="D101" s="4006"/>
      <c r="E101" s="3587" t="s">
        <v>3661</v>
      </c>
      <c r="F101" s="3573">
        <v>44.95</v>
      </c>
      <c r="G101" s="3570">
        <v>8.18</v>
      </c>
      <c r="H101" s="3571" t="s">
        <v>3557</v>
      </c>
    </row>
    <row r="102" spans="1:8">
      <c r="A102" s="3569">
        <v>100</v>
      </c>
      <c r="B102" s="4003"/>
      <c r="C102" s="4005"/>
      <c r="D102" s="4006"/>
      <c r="E102" s="3587" t="s">
        <v>3662</v>
      </c>
      <c r="F102" s="3573">
        <v>44.95</v>
      </c>
      <c r="G102" s="3570">
        <v>8.18</v>
      </c>
      <c r="H102" s="3571" t="s">
        <v>3557</v>
      </c>
    </row>
    <row r="103" spans="1:8">
      <c r="A103" s="3569">
        <v>101</v>
      </c>
      <c r="B103" s="4003"/>
      <c r="C103" s="4005"/>
      <c r="D103" s="4006"/>
      <c r="E103" s="3587" t="s">
        <v>3663</v>
      </c>
      <c r="F103" s="3573">
        <v>44.95</v>
      </c>
      <c r="G103" s="3570">
        <v>8.18</v>
      </c>
      <c r="H103" s="3571" t="s">
        <v>3557</v>
      </c>
    </row>
    <row r="104" spans="1:8">
      <c r="A104" s="3569">
        <v>102</v>
      </c>
      <c r="B104" s="4003"/>
      <c r="C104" s="4005"/>
      <c r="D104" s="4006"/>
      <c r="E104" s="3587" t="s">
        <v>3664</v>
      </c>
      <c r="F104" s="3573">
        <v>44.95</v>
      </c>
      <c r="G104" s="3570">
        <v>8.18</v>
      </c>
      <c r="H104" s="3571" t="s">
        <v>3557</v>
      </c>
    </row>
    <row r="105" spans="1:8">
      <c r="A105" s="3569">
        <v>103</v>
      </c>
      <c r="B105" s="4003"/>
      <c r="C105" s="4005"/>
      <c r="D105" s="4006"/>
      <c r="E105" s="3587" t="s">
        <v>3665</v>
      </c>
      <c r="F105" s="3573">
        <v>44.95</v>
      </c>
      <c r="G105" s="3570">
        <v>8.18</v>
      </c>
      <c r="H105" s="3571" t="s">
        <v>3557</v>
      </c>
    </row>
    <row r="106" spans="1:8">
      <c r="A106" s="3569">
        <v>104</v>
      </c>
      <c r="B106" s="4003"/>
      <c r="C106" s="4005"/>
      <c r="D106" s="4006"/>
      <c r="E106" s="3587" t="s">
        <v>3666</v>
      </c>
      <c r="F106" s="3573">
        <v>44.95</v>
      </c>
      <c r="G106" s="3570">
        <v>8.18</v>
      </c>
      <c r="H106" s="3571" t="s">
        <v>3557</v>
      </c>
    </row>
    <row r="107" spans="1:8">
      <c r="A107" s="3569">
        <v>105</v>
      </c>
      <c r="B107" s="4003"/>
      <c r="C107" s="4005"/>
      <c r="D107" s="4006"/>
      <c r="E107" s="3587" t="s">
        <v>3668</v>
      </c>
      <c r="F107" s="3573">
        <v>44.95</v>
      </c>
      <c r="G107" s="3570">
        <v>8.18</v>
      </c>
      <c r="H107" s="3571" t="s">
        <v>3557</v>
      </c>
    </row>
    <row r="108" spans="1:8">
      <c r="A108" s="3569">
        <v>106</v>
      </c>
      <c r="B108" s="4003"/>
      <c r="C108" s="4005"/>
      <c r="D108" s="4006"/>
      <c r="E108" s="3587" t="s">
        <v>3669</v>
      </c>
      <c r="F108" s="3573">
        <v>44.95</v>
      </c>
      <c r="G108" s="3570">
        <v>8.18</v>
      </c>
      <c r="H108" s="3571" t="s">
        <v>3557</v>
      </c>
    </row>
    <row r="109" spans="1:8">
      <c r="A109" s="3569">
        <v>107</v>
      </c>
      <c r="B109" s="4003"/>
      <c r="C109" s="4005"/>
      <c r="D109" s="4006"/>
      <c r="E109" s="3587" t="s">
        <v>3670</v>
      </c>
      <c r="F109" s="3573">
        <v>44.95</v>
      </c>
      <c r="G109" s="3570">
        <v>8.18</v>
      </c>
      <c r="H109" s="3571" t="s">
        <v>3557</v>
      </c>
    </row>
    <row r="110" spans="1:8">
      <c r="A110" s="3569">
        <v>108</v>
      </c>
      <c r="B110" s="4003"/>
      <c r="C110" s="4005"/>
      <c r="D110" s="4006"/>
      <c r="E110" s="3587" t="s">
        <v>3671</v>
      </c>
      <c r="F110" s="3573">
        <v>44.95</v>
      </c>
      <c r="G110" s="3570">
        <v>8.18</v>
      </c>
      <c r="H110" s="3571" t="s">
        <v>3557</v>
      </c>
    </row>
    <row r="111" spans="1:8">
      <c r="A111" s="3569">
        <v>109</v>
      </c>
      <c r="B111" s="4003"/>
      <c r="C111" s="4005"/>
      <c r="D111" s="4006"/>
      <c r="E111" s="3587" t="s">
        <v>3672</v>
      </c>
      <c r="F111" s="3573">
        <v>44.95</v>
      </c>
      <c r="G111" s="3570">
        <v>8.18</v>
      </c>
      <c r="H111" s="3571" t="s">
        <v>3557</v>
      </c>
    </row>
    <row r="112" spans="1:8">
      <c r="A112" s="3569">
        <v>110</v>
      </c>
      <c r="B112" s="4003"/>
      <c r="C112" s="4005"/>
      <c r="D112" s="4006"/>
      <c r="E112" s="3587" t="s">
        <v>3673</v>
      </c>
      <c r="F112" s="3573">
        <v>44.95</v>
      </c>
      <c r="G112" s="3570">
        <v>8.18</v>
      </c>
      <c r="H112" s="3571" t="s">
        <v>3557</v>
      </c>
    </row>
    <row r="113" spans="1:8">
      <c r="A113" s="3569">
        <v>111</v>
      </c>
      <c r="B113" s="4003"/>
      <c r="C113" s="4005"/>
      <c r="D113" s="4006"/>
      <c r="E113" s="3587" t="s">
        <v>3674</v>
      </c>
      <c r="F113" s="3573">
        <v>44.95</v>
      </c>
      <c r="G113" s="3570">
        <v>8.18</v>
      </c>
      <c r="H113" s="3571" t="s">
        <v>3557</v>
      </c>
    </row>
    <row r="114" spans="1:8">
      <c r="A114" s="3569">
        <v>112</v>
      </c>
      <c r="B114" s="4003"/>
      <c r="C114" s="4005"/>
      <c r="D114" s="4006"/>
      <c r="E114" s="3572" t="s">
        <v>3675</v>
      </c>
      <c r="F114" s="3573">
        <v>44.95</v>
      </c>
      <c r="G114" s="3570">
        <v>8.18</v>
      </c>
      <c r="H114" s="3571" t="s">
        <v>3557</v>
      </c>
    </row>
    <row r="115" spans="1:8">
      <c r="A115" s="3569">
        <v>113</v>
      </c>
      <c r="B115" s="4003"/>
      <c r="C115" s="4005"/>
      <c r="D115" s="4006"/>
      <c r="E115" s="3572" t="s">
        <v>3676</v>
      </c>
      <c r="F115" s="3573">
        <v>44.95</v>
      </c>
      <c r="G115" s="3570">
        <v>8.18</v>
      </c>
      <c r="H115" s="3571" t="s">
        <v>3557</v>
      </c>
    </row>
    <row r="116" spans="1:8">
      <c r="A116" s="3569">
        <v>114</v>
      </c>
      <c r="B116" s="4004"/>
      <c r="C116" s="4005"/>
      <c r="D116" s="4006"/>
      <c r="E116" s="3572" t="s">
        <v>3677</v>
      </c>
      <c r="F116" s="3573">
        <v>44.95</v>
      </c>
      <c r="G116" s="3570">
        <v>8.18</v>
      </c>
      <c r="H116" s="3571" t="s">
        <v>3557</v>
      </c>
    </row>
    <row r="117" spans="1:8">
      <c r="A117" s="3569">
        <v>115</v>
      </c>
      <c r="B117" s="4007" t="s">
        <v>3553</v>
      </c>
      <c r="C117" s="4005" t="s">
        <v>3554</v>
      </c>
      <c r="D117" s="4006" t="s">
        <v>3555</v>
      </c>
      <c r="E117" s="3572" t="s">
        <v>3678</v>
      </c>
      <c r="F117" s="3573">
        <v>44.95</v>
      </c>
      <c r="G117" s="3570">
        <v>8.18</v>
      </c>
      <c r="H117" s="3571" t="s">
        <v>3557</v>
      </c>
    </row>
    <row r="118" spans="1:8">
      <c r="A118" s="3569">
        <v>116</v>
      </c>
      <c r="B118" s="4003"/>
      <c r="C118" s="4005"/>
      <c r="D118" s="4006"/>
      <c r="E118" s="3572" t="s">
        <v>3679</v>
      </c>
      <c r="F118" s="3573">
        <v>44.95</v>
      </c>
      <c r="G118" s="3570">
        <v>8.18</v>
      </c>
      <c r="H118" s="3571" t="s">
        <v>3557</v>
      </c>
    </row>
    <row r="119" spans="1:8">
      <c r="A119" s="3569">
        <v>117</v>
      </c>
      <c r="B119" s="4003"/>
      <c r="C119" s="4005"/>
      <c r="D119" s="4006"/>
      <c r="E119" s="3572" t="s">
        <v>3680</v>
      </c>
      <c r="F119" s="3573">
        <v>44.95</v>
      </c>
      <c r="G119" s="3570">
        <v>8.18</v>
      </c>
      <c r="H119" s="3571" t="s">
        <v>3557</v>
      </c>
    </row>
    <row r="120" spans="1:8">
      <c r="A120" s="3569">
        <v>118</v>
      </c>
      <c r="B120" s="4003"/>
      <c r="C120" s="4005"/>
      <c r="D120" s="4006"/>
      <c r="E120" s="3572" t="s">
        <v>3688</v>
      </c>
      <c r="F120" s="3573">
        <v>44.95</v>
      </c>
      <c r="G120" s="3570">
        <v>8.18</v>
      </c>
      <c r="H120" s="3571" t="s">
        <v>3557</v>
      </c>
    </row>
    <row r="121" spans="1:8">
      <c r="A121" s="3569">
        <v>119</v>
      </c>
      <c r="B121" s="4003"/>
      <c r="C121" s="4005"/>
      <c r="D121" s="4006"/>
      <c r="E121" s="3572" t="s">
        <v>3689</v>
      </c>
      <c r="F121" s="3573">
        <v>44.95</v>
      </c>
      <c r="G121" s="3570">
        <v>8.18</v>
      </c>
      <c r="H121" s="3571" t="s">
        <v>3557</v>
      </c>
    </row>
    <row r="122" spans="1:8">
      <c r="A122" s="3569">
        <v>120</v>
      </c>
      <c r="B122" s="4003"/>
      <c r="C122" s="4005"/>
      <c r="D122" s="4006"/>
      <c r="E122" s="3572" t="s">
        <v>3690</v>
      </c>
      <c r="F122" s="3573">
        <v>44.95</v>
      </c>
      <c r="G122" s="3570">
        <v>8.18</v>
      </c>
      <c r="H122" s="3571" t="s">
        <v>3557</v>
      </c>
    </row>
    <row r="123" spans="1:8">
      <c r="A123" s="3569">
        <v>121</v>
      </c>
      <c r="B123" s="4003"/>
      <c r="C123" s="4005"/>
      <c r="D123" s="4006"/>
      <c r="E123" s="3572" t="s">
        <v>3691</v>
      </c>
      <c r="F123" s="3573">
        <v>44.95</v>
      </c>
      <c r="G123" s="3570">
        <v>8.18</v>
      </c>
      <c r="H123" s="3571" t="s">
        <v>3557</v>
      </c>
    </row>
    <row r="124" spans="1:8">
      <c r="A124" s="3569">
        <v>122</v>
      </c>
      <c r="B124" s="4003"/>
      <c r="C124" s="4005"/>
      <c r="D124" s="4006"/>
      <c r="E124" s="3572" t="s">
        <v>3692</v>
      </c>
      <c r="F124" s="3573">
        <v>44.95</v>
      </c>
      <c r="G124" s="3570">
        <v>8.18</v>
      </c>
      <c r="H124" s="3571" t="s">
        <v>3557</v>
      </c>
    </row>
    <row r="125" spans="1:8" s="3582" customFormat="1" ht="12">
      <c r="A125" s="3578">
        <v>123</v>
      </c>
      <c r="B125" s="3996"/>
      <c r="C125" s="3997"/>
      <c r="D125" s="3998"/>
      <c r="E125" s="3572">
        <v>-101</v>
      </c>
      <c r="F125" s="3573">
        <v>211.51</v>
      </c>
      <c r="G125" s="3580">
        <v>38.5</v>
      </c>
      <c r="H125" s="3581" t="s">
        <v>673</v>
      </c>
    </row>
    <row r="126" spans="1:8" s="3582" customFormat="1" ht="12">
      <c r="A126" s="3578">
        <v>124</v>
      </c>
      <c r="B126" s="3996"/>
      <c r="C126" s="3997"/>
      <c r="D126" s="3998"/>
      <c r="E126" s="3567">
        <v>-102</v>
      </c>
      <c r="F126" s="3573">
        <v>62.54</v>
      </c>
      <c r="G126" s="3580">
        <v>11.39</v>
      </c>
      <c r="H126" s="3581" t="s">
        <v>673</v>
      </c>
    </row>
    <row r="127" spans="1:8" s="3582" customFormat="1" ht="12">
      <c r="A127" s="3578">
        <v>125</v>
      </c>
      <c r="B127" s="3996"/>
      <c r="C127" s="3997"/>
      <c r="D127" s="3998"/>
      <c r="E127" s="3574">
        <v>-103</v>
      </c>
      <c r="F127" s="3573">
        <v>77.900000000000006</v>
      </c>
      <c r="G127" s="3580">
        <v>14.18</v>
      </c>
      <c r="H127" s="3581" t="s">
        <v>673</v>
      </c>
    </row>
    <row r="128" spans="1:8" s="3582" customFormat="1" ht="12">
      <c r="A128" s="3578">
        <v>126</v>
      </c>
      <c r="B128" s="3996"/>
      <c r="C128" s="3997"/>
      <c r="D128" s="3998"/>
      <c r="E128" s="3575">
        <v>-104</v>
      </c>
      <c r="F128" s="3573">
        <v>95.91</v>
      </c>
      <c r="G128" s="3580">
        <v>17.46</v>
      </c>
      <c r="H128" s="3581" t="s">
        <v>673</v>
      </c>
    </row>
    <row r="129" spans="1:8" s="3582" customFormat="1" ht="12">
      <c r="A129" s="3578">
        <v>127</v>
      </c>
      <c r="B129" s="3996"/>
      <c r="C129" s="3997"/>
      <c r="D129" s="3998"/>
      <c r="E129" s="3575">
        <v>-105</v>
      </c>
      <c r="F129" s="3573">
        <v>95.03</v>
      </c>
      <c r="G129" s="3580">
        <v>17.3</v>
      </c>
      <c r="H129" s="3581" t="s">
        <v>673</v>
      </c>
    </row>
    <row r="130" spans="1:8" s="3582" customFormat="1" ht="12">
      <c r="A130" s="3578">
        <v>128</v>
      </c>
      <c r="B130" s="3996"/>
      <c r="C130" s="3997"/>
      <c r="D130" s="3998"/>
      <c r="E130" s="3575">
        <v>-106</v>
      </c>
      <c r="F130" s="3573">
        <v>136.32</v>
      </c>
      <c r="G130" s="3580">
        <v>24.82</v>
      </c>
      <c r="H130" s="3581" t="s">
        <v>673</v>
      </c>
    </row>
    <row r="131" spans="1:8" s="3595" customFormat="1">
      <c r="A131" s="3591">
        <v>129</v>
      </c>
      <c r="B131" s="4003"/>
      <c r="C131" s="4005"/>
      <c r="D131" s="4006"/>
      <c r="E131" s="3592" t="s">
        <v>3451</v>
      </c>
      <c r="F131" s="3593">
        <v>44.95</v>
      </c>
      <c r="G131" s="3593">
        <v>8.18</v>
      </c>
      <c r="H131" s="3594" t="s">
        <v>3557</v>
      </c>
    </row>
    <row r="132" spans="1:8">
      <c r="A132" s="3569">
        <v>130</v>
      </c>
      <c r="B132" s="4003"/>
      <c r="C132" s="4005"/>
      <c r="D132" s="4006"/>
      <c r="E132" s="3572" t="s">
        <v>3696</v>
      </c>
      <c r="F132" s="3573">
        <v>44.95</v>
      </c>
      <c r="G132" s="3570">
        <v>8.18</v>
      </c>
      <c r="H132" s="3571" t="s">
        <v>3557</v>
      </c>
    </row>
    <row r="133" spans="1:8">
      <c r="A133" s="3569">
        <v>131</v>
      </c>
      <c r="B133" s="4003"/>
      <c r="C133" s="4005"/>
      <c r="D133" s="4006"/>
      <c r="E133" s="3572" t="s">
        <v>3456</v>
      </c>
      <c r="F133" s="3573">
        <v>44.95</v>
      </c>
      <c r="G133" s="3570">
        <v>8.18</v>
      </c>
      <c r="H133" s="3571" t="s">
        <v>3557</v>
      </c>
    </row>
    <row r="134" spans="1:8">
      <c r="A134" s="3569">
        <v>132</v>
      </c>
      <c r="B134" s="4003"/>
      <c r="C134" s="4005"/>
      <c r="D134" s="4006"/>
      <c r="E134" s="3572" t="s">
        <v>3457</v>
      </c>
      <c r="F134" s="3573">
        <v>44.95</v>
      </c>
      <c r="G134" s="3570">
        <v>8.18</v>
      </c>
      <c r="H134" s="3571" t="s">
        <v>3557</v>
      </c>
    </row>
    <row r="135" spans="1:8">
      <c r="A135" s="3569">
        <v>133</v>
      </c>
      <c r="B135" s="4003"/>
      <c r="C135" s="4005"/>
      <c r="D135" s="4006"/>
      <c r="E135" s="3572" t="s">
        <v>3452</v>
      </c>
      <c r="F135" s="3573">
        <v>44.95</v>
      </c>
      <c r="G135" s="3570">
        <v>8.18</v>
      </c>
      <c r="H135" s="3571" t="s">
        <v>3557</v>
      </c>
    </row>
    <row r="136" spans="1:8">
      <c r="A136" s="3569">
        <v>134</v>
      </c>
      <c r="B136" s="4003"/>
      <c r="C136" s="4005"/>
      <c r="D136" s="4006"/>
      <c r="E136" s="3572" t="s">
        <v>3697</v>
      </c>
      <c r="F136" s="3573">
        <v>44.95</v>
      </c>
      <c r="G136" s="3570">
        <v>8.18</v>
      </c>
      <c r="H136" s="3571" t="s">
        <v>3557</v>
      </c>
    </row>
    <row r="137" spans="1:8">
      <c r="A137" s="3569">
        <v>135</v>
      </c>
      <c r="B137" s="4003"/>
      <c r="C137" s="4005"/>
      <c r="D137" s="4006"/>
      <c r="E137" s="3572" t="s">
        <v>3453</v>
      </c>
      <c r="F137" s="3573">
        <v>44.95</v>
      </c>
      <c r="G137" s="3570">
        <v>8.18</v>
      </c>
      <c r="H137" s="3571" t="s">
        <v>3557</v>
      </c>
    </row>
    <row r="138" spans="1:8">
      <c r="A138" s="3569">
        <v>136</v>
      </c>
      <c r="B138" s="4003"/>
      <c r="C138" s="4005"/>
      <c r="D138" s="4006"/>
      <c r="E138" s="3572" t="s">
        <v>3698</v>
      </c>
      <c r="F138" s="3573">
        <v>44.95</v>
      </c>
      <c r="G138" s="3570">
        <v>8.18</v>
      </c>
      <c r="H138" s="3571" t="s">
        <v>3557</v>
      </c>
    </row>
    <row r="139" spans="1:8">
      <c r="A139" s="3569">
        <v>137</v>
      </c>
      <c r="B139" s="4003"/>
      <c r="C139" s="4005"/>
      <c r="D139" s="4006"/>
      <c r="E139" s="3572" t="s">
        <v>3699</v>
      </c>
      <c r="F139" s="3573">
        <v>44.95</v>
      </c>
      <c r="G139" s="3570">
        <v>8.18</v>
      </c>
      <c r="H139" s="3571" t="s">
        <v>3557</v>
      </c>
    </row>
    <row r="140" spans="1:8">
      <c r="A140" s="3569">
        <v>138</v>
      </c>
      <c r="B140" s="4003"/>
      <c r="C140" s="4005"/>
      <c r="D140" s="4006"/>
      <c r="E140" s="3572" t="s">
        <v>3700</v>
      </c>
      <c r="F140" s="3573">
        <v>44.95</v>
      </c>
      <c r="G140" s="3570">
        <v>8.18</v>
      </c>
      <c r="H140" s="3571" t="s">
        <v>3557</v>
      </c>
    </row>
    <row r="141" spans="1:8">
      <c r="A141" s="3569">
        <v>139</v>
      </c>
      <c r="B141" s="4003"/>
      <c r="C141" s="4005"/>
      <c r="D141" s="4006"/>
      <c r="E141" s="3572" t="s">
        <v>3454</v>
      </c>
      <c r="F141" s="3573">
        <v>44.95</v>
      </c>
      <c r="G141" s="3570">
        <v>8.18</v>
      </c>
      <c r="H141" s="3571" t="s">
        <v>3557</v>
      </c>
    </row>
    <row r="142" spans="1:8">
      <c r="A142" s="3569">
        <v>140</v>
      </c>
      <c r="B142" s="4003"/>
      <c r="C142" s="4005"/>
      <c r="D142" s="4006"/>
      <c r="E142" s="3572" t="s">
        <v>3701</v>
      </c>
      <c r="F142" s="3573">
        <v>67.42</v>
      </c>
      <c r="G142" s="3570">
        <v>12.27</v>
      </c>
      <c r="H142" s="3571" t="s">
        <v>3557</v>
      </c>
    </row>
    <row r="143" spans="1:8">
      <c r="A143" s="3569">
        <v>141</v>
      </c>
      <c r="B143" s="4003"/>
      <c r="C143" s="4005"/>
      <c r="D143" s="4006"/>
      <c r="E143" s="3572" t="s">
        <v>3702</v>
      </c>
      <c r="F143" s="3573">
        <v>49.03</v>
      </c>
      <c r="G143" s="3570">
        <v>8.93</v>
      </c>
      <c r="H143" s="3571" t="s">
        <v>3557</v>
      </c>
    </row>
    <row r="144" spans="1:8">
      <c r="A144" s="3569">
        <v>142</v>
      </c>
      <c r="B144" s="4003"/>
      <c r="C144" s="4005"/>
      <c r="D144" s="4006"/>
      <c r="E144" s="3572" t="s">
        <v>3703</v>
      </c>
      <c r="F144" s="3573">
        <v>49</v>
      </c>
      <c r="G144" s="3570">
        <v>8.92</v>
      </c>
      <c r="H144" s="3571" t="s">
        <v>3557</v>
      </c>
    </row>
    <row r="145" spans="1:8">
      <c r="A145" s="3569">
        <v>143</v>
      </c>
      <c r="B145" s="4003"/>
      <c r="C145" s="4005"/>
      <c r="D145" s="4006"/>
      <c r="E145" s="3572" t="s">
        <v>3704</v>
      </c>
      <c r="F145" s="3573">
        <v>49.03</v>
      </c>
      <c r="G145" s="3570">
        <v>8.93</v>
      </c>
      <c r="H145" s="3571" t="s">
        <v>3557</v>
      </c>
    </row>
    <row r="146" spans="1:8">
      <c r="A146" s="3569">
        <v>144</v>
      </c>
      <c r="B146" s="4003"/>
      <c r="C146" s="4005"/>
      <c r="D146" s="4006"/>
      <c r="E146" s="3572" t="s">
        <v>3705</v>
      </c>
      <c r="F146" s="3573">
        <v>44.95</v>
      </c>
      <c r="G146" s="3570">
        <v>8.18</v>
      </c>
      <c r="H146" s="3571" t="s">
        <v>3557</v>
      </c>
    </row>
    <row r="147" spans="1:8">
      <c r="A147" s="3569">
        <v>145</v>
      </c>
      <c r="B147" s="4003"/>
      <c r="C147" s="4005"/>
      <c r="D147" s="4006"/>
      <c r="E147" s="3572" t="s">
        <v>3706</v>
      </c>
      <c r="F147" s="3573">
        <v>44.95</v>
      </c>
      <c r="G147" s="3570">
        <v>8.18</v>
      </c>
      <c r="H147" s="3571" t="s">
        <v>3557</v>
      </c>
    </row>
    <row r="148" spans="1:8">
      <c r="A148" s="3569">
        <v>146</v>
      </c>
      <c r="B148" s="4003"/>
      <c r="C148" s="4005"/>
      <c r="D148" s="4006"/>
      <c r="E148" s="3572" t="s">
        <v>3707</v>
      </c>
      <c r="F148" s="3573">
        <v>44.95</v>
      </c>
      <c r="G148" s="3570">
        <v>8.18</v>
      </c>
      <c r="H148" s="3571" t="s">
        <v>3557</v>
      </c>
    </row>
    <row r="149" spans="1:8">
      <c r="A149" s="3569">
        <v>147</v>
      </c>
      <c r="B149" s="4003"/>
      <c r="C149" s="4005"/>
      <c r="D149" s="4006"/>
      <c r="E149" s="3572" t="s">
        <v>3708</v>
      </c>
      <c r="F149" s="3573">
        <v>44.95</v>
      </c>
      <c r="G149" s="3570">
        <v>8.18</v>
      </c>
      <c r="H149" s="3571" t="s">
        <v>3557</v>
      </c>
    </row>
    <row r="150" spans="1:8">
      <c r="A150" s="3569">
        <v>148</v>
      </c>
      <c r="B150" s="4003"/>
      <c r="C150" s="4005"/>
      <c r="D150" s="4006"/>
      <c r="E150" s="3572" t="s">
        <v>3709</v>
      </c>
      <c r="F150" s="3573">
        <v>44.95</v>
      </c>
      <c r="G150" s="3570">
        <v>8.18</v>
      </c>
      <c r="H150" s="3571" t="s">
        <v>3557</v>
      </c>
    </row>
    <row r="151" spans="1:8">
      <c r="A151" s="3569">
        <v>149</v>
      </c>
      <c r="B151" s="4003"/>
      <c r="C151" s="4005"/>
      <c r="D151" s="4006"/>
      <c r="E151" s="3572" t="s">
        <v>3710</v>
      </c>
      <c r="F151" s="3573">
        <v>44.95</v>
      </c>
      <c r="G151" s="3570">
        <v>8.18</v>
      </c>
      <c r="H151" s="3571" t="s">
        <v>3557</v>
      </c>
    </row>
    <row r="152" spans="1:8">
      <c r="A152" s="3569">
        <v>150</v>
      </c>
      <c r="B152" s="4003"/>
      <c r="C152" s="4005"/>
      <c r="D152" s="4006"/>
      <c r="E152" s="3572" t="s">
        <v>3711</v>
      </c>
      <c r="F152" s="3573">
        <v>44.95</v>
      </c>
      <c r="G152" s="3570">
        <v>8.18</v>
      </c>
      <c r="H152" s="3571" t="s">
        <v>3557</v>
      </c>
    </row>
    <row r="153" spans="1:8">
      <c r="A153" s="3569">
        <v>151</v>
      </c>
      <c r="B153" s="4003"/>
      <c r="C153" s="4005"/>
      <c r="D153" s="4006"/>
      <c r="E153" s="3572" t="s">
        <v>3712</v>
      </c>
      <c r="F153" s="3573">
        <v>44.95</v>
      </c>
      <c r="G153" s="3570">
        <v>8.18</v>
      </c>
      <c r="H153" s="3571" t="s">
        <v>3557</v>
      </c>
    </row>
    <row r="154" spans="1:8">
      <c r="A154" s="3569">
        <v>152</v>
      </c>
      <c r="B154" s="4003"/>
      <c r="C154" s="4005"/>
      <c r="D154" s="4006"/>
      <c r="E154" s="3572" t="s">
        <v>3713</v>
      </c>
      <c r="F154" s="3573">
        <v>44.95</v>
      </c>
      <c r="G154" s="3570">
        <v>8.18</v>
      </c>
      <c r="H154" s="3571" t="s">
        <v>3557</v>
      </c>
    </row>
    <row r="155" spans="1:8">
      <c r="A155" s="3569">
        <v>153</v>
      </c>
      <c r="B155" s="4003"/>
      <c r="C155" s="4005"/>
      <c r="D155" s="4006"/>
      <c r="E155" s="3572" t="s">
        <v>3714</v>
      </c>
      <c r="F155" s="3573">
        <v>44.95</v>
      </c>
      <c r="G155" s="3570">
        <v>8.18</v>
      </c>
      <c r="H155" s="3571" t="s">
        <v>3557</v>
      </c>
    </row>
    <row r="156" spans="1:8">
      <c r="A156" s="3569">
        <v>154</v>
      </c>
      <c r="B156" s="4003"/>
      <c r="C156" s="4005"/>
      <c r="D156" s="4006"/>
      <c r="E156" s="3572" t="s">
        <v>3715</v>
      </c>
      <c r="F156" s="3573">
        <v>44.95</v>
      </c>
      <c r="G156" s="3570">
        <v>8.18</v>
      </c>
      <c r="H156" s="3571" t="s">
        <v>3557</v>
      </c>
    </row>
    <row r="157" spans="1:8">
      <c r="A157" s="3569">
        <v>155</v>
      </c>
      <c r="B157" s="4003"/>
      <c r="C157" s="4005"/>
      <c r="D157" s="4006"/>
      <c r="E157" s="3572" t="s">
        <v>3716</v>
      </c>
      <c r="F157" s="3573">
        <v>44.95</v>
      </c>
      <c r="G157" s="3570">
        <v>8.18</v>
      </c>
      <c r="H157" s="3571" t="s">
        <v>3557</v>
      </c>
    </row>
    <row r="158" spans="1:8">
      <c r="A158" s="3569">
        <v>156</v>
      </c>
      <c r="B158" s="4003"/>
      <c r="C158" s="4005"/>
      <c r="D158" s="4006"/>
      <c r="E158" s="3572" t="s">
        <v>3717</v>
      </c>
      <c r="F158" s="3573">
        <v>44.95</v>
      </c>
      <c r="G158" s="3570">
        <v>8.18</v>
      </c>
      <c r="H158" s="3571" t="s">
        <v>3557</v>
      </c>
    </row>
    <row r="159" spans="1:8">
      <c r="A159" s="3569">
        <v>157</v>
      </c>
      <c r="B159" s="4004"/>
      <c r="C159" s="4005"/>
      <c r="D159" s="4006"/>
      <c r="E159" s="3572" t="s">
        <v>3718</v>
      </c>
      <c r="F159" s="3573">
        <v>44.95</v>
      </c>
      <c r="G159" s="3570">
        <v>8.18</v>
      </c>
      <c r="H159" s="3571" t="s">
        <v>3557</v>
      </c>
    </row>
    <row r="160" spans="1:8">
      <c r="A160" s="3569">
        <v>158</v>
      </c>
      <c r="B160" s="4007" t="s">
        <v>3553</v>
      </c>
      <c r="C160" s="4005" t="s">
        <v>3719</v>
      </c>
      <c r="D160" s="4006" t="s">
        <v>3555</v>
      </c>
      <c r="E160" s="3572" t="s">
        <v>3720</v>
      </c>
      <c r="F160" s="3573">
        <v>44.95</v>
      </c>
      <c r="G160" s="3570">
        <v>8.18</v>
      </c>
      <c r="H160" s="3571" t="s">
        <v>3557</v>
      </c>
    </row>
    <row r="161" spans="1:8">
      <c r="A161" s="3569">
        <v>159</v>
      </c>
      <c r="B161" s="4003"/>
      <c r="C161" s="4005"/>
      <c r="D161" s="4006"/>
      <c r="E161" s="3572" t="s">
        <v>3721</v>
      </c>
      <c r="F161" s="3573">
        <v>44.95</v>
      </c>
      <c r="G161" s="3570">
        <v>8.18</v>
      </c>
      <c r="H161" s="3571" t="s">
        <v>3557</v>
      </c>
    </row>
    <row r="162" spans="1:8">
      <c r="A162" s="3569">
        <v>160</v>
      </c>
      <c r="B162" s="4003"/>
      <c r="C162" s="4005"/>
      <c r="D162" s="4006"/>
      <c r="E162" s="3572" t="s">
        <v>3722</v>
      </c>
      <c r="F162" s="3573">
        <v>44.95</v>
      </c>
      <c r="G162" s="3570">
        <v>8.18</v>
      </c>
      <c r="H162" s="3571" t="s">
        <v>3557</v>
      </c>
    </row>
    <row r="163" spans="1:8">
      <c r="A163" s="3569">
        <v>161</v>
      </c>
      <c r="B163" s="4003"/>
      <c r="C163" s="4005"/>
      <c r="D163" s="4006"/>
      <c r="E163" s="3572" t="s">
        <v>3723</v>
      </c>
      <c r="F163" s="3573">
        <v>44.95</v>
      </c>
      <c r="G163" s="3570">
        <v>8.18</v>
      </c>
      <c r="H163" s="3571" t="s">
        <v>3557</v>
      </c>
    </row>
    <row r="164" spans="1:8">
      <c r="A164" s="3569">
        <v>162</v>
      </c>
      <c r="B164" s="4003"/>
      <c r="C164" s="4005"/>
      <c r="D164" s="4006"/>
      <c r="E164" s="3572" t="s">
        <v>3724</v>
      </c>
      <c r="F164" s="3573">
        <v>44.95</v>
      </c>
      <c r="G164" s="3570">
        <v>8.18</v>
      </c>
      <c r="H164" s="3571" t="s">
        <v>3557</v>
      </c>
    </row>
    <row r="165" spans="1:8">
      <c r="A165" s="3569">
        <v>163</v>
      </c>
      <c r="B165" s="4003"/>
      <c r="C165" s="4005"/>
      <c r="D165" s="4006"/>
      <c r="E165" s="3572" t="s">
        <v>3725</v>
      </c>
      <c r="F165" s="3573">
        <v>44.95</v>
      </c>
      <c r="G165" s="3570">
        <v>8.18</v>
      </c>
      <c r="H165" s="3571" t="s">
        <v>3557</v>
      </c>
    </row>
    <row r="166" spans="1:8">
      <c r="A166" s="3569">
        <v>164</v>
      </c>
      <c r="B166" s="4003"/>
      <c r="C166" s="4005"/>
      <c r="D166" s="4006"/>
      <c r="E166" s="3587" t="s">
        <v>3726</v>
      </c>
      <c r="F166" s="3573">
        <v>44.95</v>
      </c>
      <c r="G166" s="3570">
        <v>8.18</v>
      </c>
      <c r="H166" s="3571" t="s">
        <v>3557</v>
      </c>
    </row>
    <row r="167" spans="1:8">
      <c r="A167" s="3569">
        <v>165</v>
      </c>
      <c r="B167" s="4003"/>
      <c r="C167" s="4005"/>
      <c r="D167" s="4006"/>
      <c r="E167" s="3572" t="s">
        <v>3727</v>
      </c>
      <c r="F167" s="3573">
        <v>44.95</v>
      </c>
      <c r="G167" s="3570">
        <v>8.18</v>
      </c>
      <c r="H167" s="3571" t="s">
        <v>3557</v>
      </c>
    </row>
    <row r="168" spans="1:8">
      <c r="A168" s="3569">
        <v>166</v>
      </c>
      <c r="B168" s="4003"/>
      <c r="C168" s="4005"/>
      <c r="D168" s="4006"/>
      <c r="E168" s="3572" t="s">
        <v>3728</v>
      </c>
      <c r="F168" s="3573">
        <v>44.95</v>
      </c>
      <c r="G168" s="3570">
        <v>8.18</v>
      </c>
      <c r="H168" s="3571" t="s">
        <v>3557</v>
      </c>
    </row>
    <row r="169" spans="1:8">
      <c r="A169" s="3569">
        <v>167</v>
      </c>
      <c r="B169" s="4003"/>
      <c r="C169" s="4005"/>
      <c r="D169" s="4006"/>
      <c r="E169" s="3572" t="s">
        <v>3729</v>
      </c>
      <c r="F169" s="3573">
        <v>44.95</v>
      </c>
      <c r="G169" s="3570">
        <v>8.18</v>
      </c>
      <c r="H169" s="3571" t="s">
        <v>3557</v>
      </c>
    </row>
    <row r="170" spans="1:8">
      <c r="A170" s="3569">
        <v>168</v>
      </c>
      <c r="B170" s="4003"/>
      <c r="C170" s="4005"/>
      <c r="D170" s="4006"/>
      <c r="E170" s="3587" t="s">
        <v>3730</v>
      </c>
      <c r="F170" s="3573">
        <v>44.95</v>
      </c>
      <c r="G170" s="3570">
        <v>8.18</v>
      </c>
      <c r="H170" s="3571" t="s">
        <v>3557</v>
      </c>
    </row>
    <row r="171" spans="1:8">
      <c r="A171" s="3569">
        <v>169</v>
      </c>
      <c r="B171" s="4003"/>
      <c r="C171" s="4005"/>
      <c r="D171" s="4006"/>
      <c r="E171" s="3587" t="s">
        <v>3731</v>
      </c>
      <c r="F171" s="3573">
        <v>44.95</v>
      </c>
      <c r="G171" s="3570">
        <v>8.18</v>
      </c>
      <c r="H171" s="3571" t="s">
        <v>3557</v>
      </c>
    </row>
    <row r="172" spans="1:8">
      <c r="A172" s="3569">
        <v>170</v>
      </c>
      <c r="B172" s="4003"/>
      <c r="C172" s="4005"/>
      <c r="D172" s="4006"/>
      <c r="E172" s="3587" t="s">
        <v>3732</v>
      </c>
      <c r="F172" s="3573">
        <v>67.42</v>
      </c>
      <c r="G172" s="3570">
        <v>12.27</v>
      </c>
      <c r="H172" s="3571" t="s">
        <v>3557</v>
      </c>
    </row>
    <row r="173" spans="1:8">
      <c r="A173" s="3569">
        <v>171</v>
      </c>
      <c r="B173" s="4003"/>
      <c r="C173" s="4005"/>
      <c r="D173" s="4006"/>
      <c r="E173" s="3587" t="s">
        <v>3733</v>
      </c>
      <c r="F173" s="3573">
        <v>44.95</v>
      </c>
      <c r="G173" s="3570">
        <v>8.18</v>
      </c>
      <c r="H173" s="3571" t="s">
        <v>3557</v>
      </c>
    </row>
    <row r="174" spans="1:8">
      <c r="A174" s="3569">
        <v>172</v>
      </c>
      <c r="B174" s="4003"/>
      <c r="C174" s="4005"/>
      <c r="D174" s="4006"/>
      <c r="E174" s="3587" t="s">
        <v>3734</v>
      </c>
      <c r="F174" s="3573">
        <v>44.95</v>
      </c>
      <c r="G174" s="3570">
        <v>8.18</v>
      </c>
      <c r="H174" s="3571" t="s">
        <v>3557</v>
      </c>
    </row>
    <row r="175" spans="1:8">
      <c r="A175" s="3569">
        <v>173</v>
      </c>
      <c r="B175" s="4003"/>
      <c r="C175" s="4005"/>
      <c r="D175" s="4006"/>
      <c r="E175" s="3587" t="s">
        <v>3735</v>
      </c>
      <c r="F175" s="3573">
        <v>67.42</v>
      </c>
      <c r="G175" s="3570">
        <v>12.27</v>
      </c>
      <c r="H175" s="3571" t="s">
        <v>3557</v>
      </c>
    </row>
    <row r="176" spans="1:8">
      <c r="A176" s="3569">
        <v>174</v>
      </c>
      <c r="B176" s="4003"/>
      <c r="C176" s="4005"/>
      <c r="D176" s="4006"/>
      <c r="E176" s="3587" t="s">
        <v>3736</v>
      </c>
      <c r="F176" s="3573">
        <v>44.95</v>
      </c>
      <c r="G176" s="3570">
        <v>8.18</v>
      </c>
      <c r="H176" s="3571" t="s">
        <v>3557</v>
      </c>
    </row>
    <row r="177" spans="1:8">
      <c r="A177" s="3569">
        <v>175</v>
      </c>
      <c r="B177" s="4003"/>
      <c r="C177" s="4005"/>
      <c r="D177" s="4006"/>
      <c r="E177" s="3587" t="s">
        <v>3737</v>
      </c>
      <c r="F177" s="3573">
        <v>67.42</v>
      </c>
      <c r="G177" s="3570">
        <v>12.27</v>
      </c>
      <c r="H177" s="3571" t="s">
        <v>3557</v>
      </c>
    </row>
    <row r="178" spans="1:8">
      <c r="A178" s="3569">
        <v>176</v>
      </c>
      <c r="B178" s="4003"/>
      <c r="C178" s="4005"/>
      <c r="D178" s="4006"/>
      <c r="E178" s="3587" t="s">
        <v>3738</v>
      </c>
      <c r="F178" s="3573">
        <v>44.95</v>
      </c>
      <c r="G178" s="3570">
        <v>8.18</v>
      </c>
      <c r="H178" s="3571" t="s">
        <v>3557</v>
      </c>
    </row>
    <row r="179" spans="1:8">
      <c r="A179" s="3569">
        <v>177</v>
      </c>
      <c r="B179" s="4003"/>
      <c r="C179" s="4005"/>
      <c r="D179" s="4006"/>
      <c r="E179" s="3587" t="s">
        <v>3739</v>
      </c>
      <c r="F179" s="3573">
        <v>44.95</v>
      </c>
      <c r="G179" s="3570">
        <v>8.18</v>
      </c>
      <c r="H179" s="3571" t="s">
        <v>3557</v>
      </c>
    </row>
    <row r="180" spans="1:8">
      <c r="A180" s="3569">
        <v>178</v>
      </c>
      <c r="B180" s="4003"/>
      <c r="C180" s="4005"/>
      <c r="D180" s="4006"/>
      <c r="E180" s="3587" t="s">
        <v>3740</v>
      </c>
      <c r="F180" s="3573">
        <v>44.95</v>
      </c>
      <c r="G180" s="3570">
        <v>8.18</v>
      </c>
      <c r="H180" s="3571" t="s">
        <v>3557</v>
      </c>
    </row>
    <row r="181" spans="1:8">
      <c r="A181" s="3569">
        <v>179</v>
      </c>
      <c r="B181" s="4004"/>
      <c r="C181" s="4005"/>
      <c r="D181" s="4006"/>
      <c r="E181" s="3587" t="s">
        <v>3741</v>
      </c>
      <c r="F181" s="3573">
        <v>44.95</v>
      </c>
      <c r="G181" s="3570">
        <v>8.18</v>
      </c>
      <c r="H181" s="3571" t="s">
        <v>3557</v>
      </c>
    </row>
    <row r="182" spans="1:8">
      <c r="A182" s="3999" t="s">
        <v>4286</v>
      </c>
      <c r="B182" s="4000"/>
      <c r="C182" s="4000"/>
      <c r="D182" s="4000"/>
      <c r="E182" s="4001"/>
      <c r="F182" s="3560">
        <f>SUM(F3:F181)-SUM(F125:F130)</f>
        <v>8380.169999999991</v>
      </c>
      <c r="G182" s="3560">
        <f>SUM(G3:G181)-SUM(G125:G130)</f>
        <v>1525.3600000000017</v>
      </c>
      <c r="H182" s="3566"/>
    </row>
    <row r="183" spans="1:8">
      <c r="A183" s="3999" t="s">
        <v>2591</v>
      </c>
      <c r="B183" s="4000"/>
      <c r="C183" s="4000"/>
      <c r="D183" s="4000"/>
      <c r="E183" s="4001"/>
      <c r="F183" s="3560">
        <f>SUM(F3:F181)</f>
        <v>9059.3799999999901</v>
      </c>
      <c r="G183" s="3560">
        <f>SUM(G3:G181)</f>
        <v>1649.0100000000018</v>
      </c>
      <c r="H183" s="3566"/>
    </row>
    <row r="184" spans="1:8" s="3558" customFormat="1" ht="26.25">
      <c r="A184" s="3559" t="s">
        <v>3437</v>
      </c>
      <c r="B184" s="3559" t="s">
        <v>3438</v>
      </c>
      <c r="C184" s="3559" t="s">
        <v>3439</v>
      </c>
      <c r="D184" s="3559" t="s">
        <v>3440</v>
      </c>
      <c r="E184" s="3559" t="s">
        <v>3441</v>
      </c>
      <c r="F184" s="3560" t="s">
        <v>3442</v>
      </c>
      <c r="G184" s="3560" t="s">
        <v>3443</v>
      </c>
      <c r="H184" s="3559" t="s">
        <v>3444</v>
      </c>
    </row>
    <row r="185" spans="1:8" s="3582" customFormat="1" ht="12">
      <c r="A185" s="3584">
        <v>1</v>
      </c>
      <c r="B185" s="3997" t="s">
        <v>3769</v>
      </c>
      <c r="C185" s="3997" t="s">
        <v>3770</v>
      </c>
      <c r="D185" s="4002" t="s">
        <v>3771</v>
      </c>
      <c r="E185" s="3583">
        <v>-302</v>
      </c>
      <c r="F185" s="3583">
        <v>35.380000000000003</v>
      </c>
      <c r="G185" s="3583">
        <v>5.74</v>
      </c>
      <c r="H185" s="3585"/>
    </row>
    <row r="186" spans="1:8" s="3582" customFormat="1" ht="12">
      <c r="A186" s="3584">
        <v>2</v>
      </c>
      <c r="B186" s="3997"/>
      <c r="C186" s="3997"/>
      <c r="D186" s="4002"/>
      <c r="E186" s="3583">
        <v>-101</v>
      </c>
      <c r="F186" s="3583">
        <v>165.31</v>
      </c>
      <c r="G186" s="3583">
        <v>26.81</v>
      </c>
      <c r="H186" s="3583" t="s">
        <v>673</v>
      </c>
    </row>
    <row r="187" spans="1:8" s="3582" customFormat="1" ht="12">
      <c r="A187" s="3584">
        <v>3</v>
      </c>
      <c r="B187" s="3997"/>
      <c r="C187" s="3997"/>
      <c r="D187" s="4002"/>
      <c r="E187" s="3583">
        <v>-102</v>
      </c>
      <c r="F187" s="3583">
        <v>157.99</v>
      </c>
      <c r="G187" s="3583">
        <v>25.63</v>
      </c>
      <c r="H187" s="3583" t="s">
        <v>673</v>
      </c>
    </row>
    <row r="188" spans="1:8" s="3582" customFormat="1" ht="12">
      <c r="A188" s="3584">
        <v>4</v>
      </c>
      <c r="B188" s="3997"/>
      <c r="C188" s="3997"/>
      <c r="D188" s="4002"/>
      <c r="E188" s="3583">
        <v>-103</v>
      </c>
      <c r="F188" s="3583">
        <v>170.45</v>
      </c>
      <c r="G188" s="3583">
        <v>27.65</v>
      </c>
      <c r="H188" s="3583" t="s">
        <v>673</v>
      </c>
    </row>
    <row r="189" spans="1:8" s="3582" customFormat="1" ht="12">
      <c r="A189" s="3584">
        <v>5</v>
      </c>
      <c r="B189" s="3997"/>
      <c r="C189" s="3997"/>
      <c r="D189" s="4002"/>
      <c r="E189" s="3583">
        <v>-104</v>
      </c>
      <c r="F189" s="3583">
        <v>183.16</v>
      </c>
      <c r="G189" s="3583">
        <v>29.71</v>
      </c>
      <c r="H189" s="3583" t="s">
        <v>673</v>
      </c>
    </row>
    <row r="190" spans="1:8" s="3582" customFormat="1" ht="12">
      <c r="A190" s="3584">
        <v>6</v>
      </c>
      <c r="B190" s="3997"/>
      <c r="C190" s="3997"/>
      <c r="D190" s="4002"/>
      <c r="E190" s="3583">
        <v>-105</v>
      </c>
      <c r="F190" s="3583">
        <v>176.13</v>
      </c>
      <c r="G190" s="3583">
        <v>28.57</v>
      </c>
      <c r="H190" s="3583" t="s">
        <v>673</v>
      </c>
    </row>
    <row r="191" spans="1:8" s="3582" customFormat="1" ht="12">
      <c r="A191" s="3584">
        <v>7</v>
      </c>
      <c r="B191" s="3997"/>
      <c r="C191" s="3997"/>
      <c r="D191" s="4002"/>
      <c r="E191" s="3583">
        <v>-106</v>
      </c>
      <c r="F191" s="3583">
        <v>255.37</v>
      </c>
      <c r="G191" s="3583">
        <v>41.42</v>
      </c>
      <c r="H191" s="3583" t="s">
        <v>673</v>
      </c>
    </row>
    <row r="192" spans="1:8" s="3582" customFormat="1" ht="12">
      <c r="A192" s="3584">
        <v>8</v>
      </c>
      <c r="B192" s="3997"/>
      <c r="C192" s="3997"/>
      <c r="D192" s="4002"/>
      <c r="E192" s="3583">
        <v>-107</v>
      </c>
      <c r="F192" s="3583">
        <v>228.94</v>
      </c>
      <c r="G192" s="3583">
        <v>37.14</v>
      </c>
      <c r="H192" s="3583" t="s">
        <v>673</v>
      </c>
    </row>
    <row r="193" spans="1:8" s="3582" customFormat="1" ht="12">
      <c r="A193" s="3584">
        <v>9</v>
      </c>
      <c r="B193" s="3997"/>
      <c r="C193" s="3997"/>
      <c r="D193" s="4002"/>
      <c r="E193" s="3583">
        <v>-108</v>
      </c>
      <c r="F193" s="3583">
        <v>408.34</v>
      </c>
      <c r="G193" s="3583">
        <v>66.239999999999995</v>
      </c>
      <c r="H193" s="3583" t="s">
        <v>673</v>
      </c>
    </row>
    <row r="194" spans="1:8" s="3582" customFormat="1" ht="12">
      <c r="A194" s="3584">
        <v>10</v>
      </c>
      <c r="B194" s="3997"/>
      <c r="C194" s="3997"/>
      <c r="D194" s="4002"/>
      <c r="E194" s="3583">
        <v>-109</v>
      </c>
      <c r="F194" s="3583">
        <v>266.61</v>
      </c>
      <c r="G194" s="3583">
        <v>43.25</v>
      </c>
      <c r="H194" s="3583" t="s">
        <v>673</v>
      </c>
    </row>
    <row r="195" spans="1:8" s="3582" customFormat="1" ht="12">
      <c r="A195" s="3584">
        <v>11</v>
      </c>
      <c r="B195" s="3997"/>
      <c r="C195" s="3997"/>
      <c r="D195" s="4002"/>
      <c r="E195" s="3583">
        <v>-110</v>
      </c>
      <c r="F195" s="3583">
        <v>276.13</v>
      </c>
      <c r="G195" s="3583">
        <v>44.79</v>
      </c>
      <c r="H195" s="3583" t="s">
        <v>673</v>
      </c>
    </row>
    <row r="196" spans="1:8" s="3582" customFormat="1" ht="12">
      <c r="A196" s="3584">
        <v>12</v>
      </c>
      <c r="B196" s="3997"/>
      <c r="C196" s="3997"/>
      <c r="D196" s="4002"/>
      <c r="E196" s="3583">
        <v>-111</v>
      </c>
      <c r="F196" s="3583">
        <v>183.98</v>
      </c>
      <c r="G196" s="3583">
        <v>29.84</v>
      </c>
      <c r="H196" s="3583" t="s">
        <v>673</v>
      </c>
    </row>
    <row r="197" spans="1:8" s="3582" customFormat="1" ht="12">
      <c r="A197" s="3584">
        <v>13</v>
      </c>
      <c r="B197" s="3997"/>
      <c r="C197" s="3997"/>
      <c r="D197" s="4002"/>
      <c r="E197" s="3583">
        <v>-112</v>
      </c>
      <c r="F197" s="3583">
        <v>162.04</v>
      </c>
      <c r="G197" s="3583">
        <v>26.28</v>
      </c>
      <c r="H197" s="3583" t="s">
        <v>673</v>
      </c>
    </row>
    <row r="198" spans="1:8" s="3582" customFormat="1" ht="12">
      <c r="A198" s="3584">
        <v>14</v>
      </c>
      <c r="B198" s="3997"/>
      <c r="C198" s="3997"/>
      <c r="D198" s="4002"/>
      <c r="E198" s="3583">
        <v>-113</v>
      </c>
      <c r="F198" s="3583">
        <v>276.98</v>
      </c>
      <c r="G198" s="3583">
        <v>44.93</v>
      </c>
      <c r="H198" s="3583" t="s">
        <v>673</v>
      </c>
    </row>
    <row r="199" spans="1:8" s="3582" customFormat="1" ht="12">
      <c r="A199" s="3584">
        <v>15</v>
      </c>
      <c r="B199" s="3997"/>
      <c r="C199" s="3997"/>
      <c r="D199" s="4002"/>
      <c r="E199" s="3583">
        <v>-114</v>
      </c>
      <c r="F199" s="3583">
        <v>724.45</v>
      </c>
      <c r="G199" s="3583">
        <v>117.51</v>
      </c>
      <c r="H199" s="3583" t="s">
        <v>673</v>
      </c>
    </row>
    <row r="200" spans="1:8" s="3582" customFormat="1" ht="12">
      <c r="A200" s="3584">
        <v>16</v>
      </c>
      <c r="B200" s="3997"/>
      <c r="C200" s="3997"/>
      <c r="D200" s="4002"/>
      <c r="E200" s="3583">
        <v>-115</v>
      </c>
      <c r="F200" s="3583">
        <v>471.78</v>
      </c>
      <c r="G200" s="3583">
        <v>76.53</v>
      </c>
      <c r="H200" s="3583" t="s">
        <v>673</v>
      </c>
    </row>
    <row r="201" spans="1:8" s="3558" customFormat="1" ht="12">
      <c r="A201" s="3561">
        <v>17</v>
      </c>
      <c r="B201" s="4005"/>
      <c r="C201" s="4005"/>
      <c r="D201" s="3898"/>
      <c r="E201" s="3563" t="s">
        <v>3446</v>
      </c>
      <c r="F201" s="3562">
        <v>40.43</v>
      </c>
      <c r="G201" s="3562">
        <v>6.55</v>
      </c>
      <c r="H201" s="3564" t="s">
        <v>3557</v>
      </c>
    </row>
    <row r="202" spans="1:8" s="3558" customFormat="1" ht="12">
      <c r="A202" s="3561">
        <v>18</v>
      </c>
      <c r="B202" s="4005"/>
      <c r="C202" s="4005"/>
      <c r="D202" s="3898"/>
      <c r="E202" s="3563" t="s">
        <v>3774</v>
      </c>
      <c r="F202" s="3562">
        <v>40.43</v>
      </c>
      <c r="G202" s="3562">
        <v>6.55</v>
      </c>
      <c r="H202" s="3564" t="s">
        <v>3557</v>
      </c>
    </row>
    <row r="203" spans="1:8" s="3558" customFormat="1" ht="12">
      <c r="A203" s="3561">
        <v>19</v>
      </c>
      <c r="B203" s="4005"/>
      <c r="C203" s="4005"/>
      <c r="D203" s="3898"/>
      <c r="E203" s="3563" t="s">
        <v>3449</v>
      </c>
      <c r="F203" s="3562">
        <v>40.43</v>
      </c>
      <c r="G203" s="3562">
        <v>6.55</v>
      </c>
      <c r="H203" s="3564" t="s">
        <v>3557</v>
      </c>
    </row>
    <row r="204" spans="1:8" s="3558" customFormat="1" ht="12">
      <c r="A204" s="3561">
        <v>20</v>
      </c>
      <c r="B204" s="4005"/>
      <c r="C204" s="4005"/>
      <c r="D204" s="3898"/>
      <c r="E204" s="3563" t="s">
        <v>3775</v>
      </c>
      <c r="F204" s="3562">
        <v>68.27</v>
      </c>
      <c r="G204" s="3562">
        <v>11.07</v>
      </c>
      <c r="H204" s="3564" t="s">
        <v>3557</v>
      </c>
    </row>
    <row r="205" spans="1:8" s="3558" customFormat="1" ht="12">
      <c r="A205" s="3561">
        <v>21</v>
      </c>
      <c r="B205" s="4005"/>
      <c r="C205" s="4005"/>
      <c r="D205" s="3898"/>
      <c r="E205" s="3563" t="s">
        <v>3776</v>
      </c>
      <c r="F205" s="3562">
        <v>40.43</v>
      </c>
      <c r="G205" s="3562">
        <v>6.55</v>
      </c>
      <c r="H205" s="3564" t="s">
        <v>3557</v>
      </c>
    </row>
    <row r="206" spans="1:8" s="3558" customFormat="1" ht="12">
      <c r="A206" s="3561">
        <v>22</v>
      </c>
      <c r="B206" s="4005"/>
      <c r="C206" s="4005"/>
      <c r="D206" s="3898"/>
      <c r="E206" s="3563" t="s">
        <v>3777</v>
      </c>
      <c r="F206" s="3562">
        <v>40.43</v>
      </c>
      <c r="G206" s="3562">
        <v>6.55</v>
      </c>
      <c r="H206" s="3564" t="s">
        <v>3557</v>
      </c>
    </row>
    <row r="207" spans="1:8" s="3558" customFormat="1" ht="12">
      <c r="A207" s="3561">
        <v>23</v>
      </c>
      <c r="B207" s="4005"/>
      <c r="C207" s="4005"/>
      <c r="D207" s="3898"/>
      <c r="E207" s="3563" t="s">
        <v>3778</v>
      </c>
      <c r="F207" s="3562">
        <v>40.43</v>
      </c>
      <c r="G207" s="3562">
        <v>6.55</v>
      </c>
      <c r="H207" s="3564" t="s">
        <v>3557</v>
      </c>
    </row>
    <row r="208" spans="1:8" s="3558" customFormat="1" ht="12">
      <c r="A208" s="3561">
        <v>24</v>
      </c>
      <c r="B208" s="4005"/>
      <c r="C208" s="4005"/>
      <c r="D208" s="3898"/>
      <c r="E208" s="3563" t="s">
        <v>3779</v>
      </c>
      <c r="F208" s="3562">
        <v>40.43</v>
      </c>
      <c r="G208" s="3562">
        <v>6.55</v>
      </c>
      <c r="H208" s="3564" t="s">
        <v>3557</v>
      </c>
    </row>
    <row r="209" spans="1:8" s="3558" customFormat="1" ht="12">
      <c r="A209" s="3561">
        <v>25</v>
      </c>
      <c r="B209" s="4005"/>
      <c r="C209" s="4005"/>
      <c r="D209" s="3898"/>
      <c r="E209" s="3563" t="s">
        <v>3780</v>
      </c>
      <c r="F209" s="3562">
        <v>40.43</v>
      </c>
      <c r="G209" s="3562">
        <v>6.55</v>
      </c>
      <c r="H209" s="3564" t="s">
        <v>3557</v>
      </c>
    </row>
    <row r="210" spans="1:8" s="3558" customFormat="1" ht="12">
      <c r="A210" s="3561">
        <v>26</v>
      </c>
      <c r="B210" s="4005"/>
      <c r="C210" s="4005"/>
      <c r="D210" s="3898"/>
      <c r="E210" s="3563" t="s">
        <v>3781</v>
      </c>
      <c r="F210" s="3562">
        <v>40.43</v>
      </c>
      <c r="G210" s="3562">
        <v>6.55</v>
      </c>
      <c r="H210" s="3564" t="s">
        <v>3557</v>
      </c>
    </row>
    <row r="211" spans="1:8" s="3558" customFormat="1" ht="12">
      <c r="A211" s="3561">
        <v>27</v>
      </c>
      <c r="B211" s="4005"/>
      <c r="C211" s="4005"/>
      <c r="D211" s="3898"/>
      <c r="E211" s="3563" t="s">
        <v>3448</v>
      </c>
      <c r="F211" s="3562">
        <v>40.43</v>
      </c>
      <c r="G211" s="3562">
        <v>6.55</v>
      </c>
      <c r="H211" s="3564" t="s">
        <v>3557</v>
      </c>
    </row>
    <row r="212" spans="1:8" s="3558" customFormat="1" ht="12">
      <c r="A212" s="3561">
        <v>28</v>
      </c>
      <c r="B212" s="4005"/>
      <c r="C212" s="4005"/>
      <c r="D212" s="3898"/>
      <c r="E212" s="3563" t="s">
        <v>3782</v>
      </c>
      <c r="F212" s="3562">
        <v>40.43</v>
      </c>
      <c r="G212" s="3562">
        <v>6.55</v>
      </c>
      <c r="H212" s="3564" t="s">
        <v>3557</v>
      </c>
    </row>
    <row r="213" spans="1:8" s="3558" customFormat="1" ht="12">
      <c r="A213" s="3561">
        <v>29</v>
      </c>
      <c r="B213" s="4005"/>
      <c r="C213" s="4005"/>
      <c r="D213" s="3898"/>
      <c r="E213" s="3563" t="s">
        <v>3783</v>
      </c>
      <c r="F213" s="3562">
        <v>40.43</v>
      </c>
      <c r="G213" s="3562">
        <v>6.55</v>
      </c>
      <c r="H213" s="3564" t="s">
        <v>3557</v>
      </c>
    </row>
    <row r="214" spans="1:8" s="3558" customFormat="1" ht="12">
      <c r="A214" s="3561">
        <v>30</v>
      </c>
      <c r="B214" s="4005"/>
      <c r="C214" s="4005"/>
      <c r="D214" s="3898"/>
      <c r="E214" s="3563" t="s">
        <v>3784</v>
      </c>
      <c r="F214" s="3562">
        <v>40.43</v>
      </c>
      <c r="G214" s="3562">
        <v>6.55</v>
      </c>
      <c r="H214" s="3564" t="s">
        <v>3557</v>
      </c>
    </row>
    <row r="215" spans="1:8" s="3558" customFormat="1" ht="12">
      <c r="A215" s="3561">
        <v>31</v>
      </c>
      <c r="B215" s="4005"/>
      <c r="C215" s="4005"/>
      <c r="D215" s="3898"/>
      <c r="E215" s="3563" t="s">
        <v>3785</v>
      </c>
      <c r="F215" s="3562">
        <v>40.43</v>
      </c>
      <c r="G215" s="3562">
        <v>6.55</v>
      </c>
      <c r="H215" s="3564" t="s">
        <v>3557</v>
      </c>
    </row>
    <row r="216" spans="1:8" s="3558" customFormat="1" ht="12">
      <c r="A216" s="3561">
        <v>32</v>
      </c>
      <c r="B216" s="4005"/>
      <c r="C216" s="4005"/>
      <c r="D216" s="3898"/>
      <c r="E216" s="3563" t="s">
        <v>3786</v>
      </c>
      <c r="F216" s="3562">
        <v>40.43</v>
      </c>
      <c r="G216" s="3562">
        <v>6.55</v>
      </c>
      <c r="H216" s="3564" t="s">
        <v>3557</v>
      </c>
    </row>
    <row r="217" spans="1:8" s="3558" customFormat="1" ht="12">
      <c r="A217" s="3561">
        <v>33</v>
      </c>
      <c r="B217" s="4005"/>
      <c r="C217" s="4005"/>
      <c r="D217" s="3898"/>
      <c r="E217" s="3563" t="s">
        <v>3787</v>
      </c>
      <c r="F217" s="3562">
        <v>40.43</v>
      </c>
      <c r="G217" s="3562">
        <v>6.55</v>
      </c>
      <c r="H217" s="3564" t="s">
        <v>3557</v>
      </c>
    </row>
    <row r="218" spans="1:8" s="3558" customFormat="1" ht="12">
      <c r="A218" s="3561">
        <v>34</v>
      </c>
      <c r="B218" s="4005"/>
      <c r="C218" s="4005"/>
      <c r="D218" s="3898"/>
      <c r="E218" s="3563" t="s">
        <v>3788</v>
      </c>
      <c r="F218" s="3562">
        <v>40.43</v>
      </c>
      <c r="G218" s="3562">
        <v>6.55</v>
      </c>
      <c r="H218" s="3564" t="s">
        <v>3557</v>
      </c>
    </row>
    <row r="219" spans="1:8" s="3558" customFormat="1" ht="12">
      <c r="A219" s="3561">
        <v>35</v>
      </c>
      <c r="B219" s="4005"/>
      <c r="C219" s="4005"/>
      <c r="D219" s="3898"/>
      <c r="E219" s="3563" t="s">
        <v>3789</v>
      </c>
      <c r="F219" s="3562">
        <v>40.43</v>
      </c>
      <c r="G219" s="3562">
        <v>6.55</v>
      </c>
      <c r="H219" s="3564" t="s">
        <v>3557</v>
      </c>
    </row>
    <row r="220" spans="1:8" s="3558" customFormat="1" ht="12">
      <c r="A220" s="3561">
        <v>36</v>
      </c>
      <c r="B220" s="4005"/>
      <c r="C220" s="4005"/>
      <c r="D220" s="3898"/>
      <c r="E220" s="3563" t="s">
        <v>3790</v>
      </c>
      <c r="F220" s="3562">
        <v>40.43</v>
      </c>
      <c r="G220" s="3562">
        <v>6.55</v>
      </c>
      <c r="H220" s="3564" t="s">
        <v>3557</v>
      </c>
    </row>
    <row r="221" spans="1:8" s="3558" customFormat="1" ht="12">
      <c r="A221" s="3561">
        <v>37</v>
      </c>
      <c r="B221" s="4005"/>
      <c r="C221" s="4005"/>
      <c r="D221" s="3898"/>
      <c r="E221" s="3563" t="s">
        <v>3791</v>
      </c>
      <c r="F221" s="3562">
        <v>40.43</v>
      </c>
      <c r="G221" s="3562">
        <v>6.55</v>
      </c>
      <c r="H221" s="3564" t="s">
        <v>3557</v>
      </c>
    </row>
    <row r="222" spans="1:8" s="3558" customFormat="1" ht="12">
      <c r="A222" s="3561">
        <v>38</v>
      </c>
      <c r="B222" s="4005" t="s">
        <v>3769</v>
      </c>
      <c r="C222" s="4005" t="s">
        <v>3770</v>
      </c>
      <c r="D222" s="3898" t="s">
        <v>3771</v>
      </c>
      <c r="E222" s="3563" t="s">
        <v>3792</v>
      </c>
      <c r="F222" s="3562">
        <v>40.43</v>
      </c>
      <c r="G222" s="3562">
        <v>6.55</v>
      </c>
      <c r="H222" s="3564" t="s">
        <v>3557</v>
      </c>
    </row>
    <row r="223" spans="1:8" s="3558" customFormat="1" ht="12">
      <c r="A223" s="3561">
        <v>39</v>
      </c>
      <c r="B223" s="4005"/>
      <c r="C223" s="4005"/>
      <c r="D223" s="3898"/>
      <c r="E223" s="3563" t="s">
        <v>3793</v>
      </c>
      <c r="F223" s="3562">
        <v>40.43</v>
      </c>
      <c r="G223" s="3562">
        <v>6.55</v>
      </c>
      <c r="H223" s="3564" t="s">
        <v>3557</v>
      </c>
    </row>
    <row r="224" spans="1:8" s="3558" customFormat="1" ht="12">
      <c r="A224" s="3561">
        <v>40</v>
      </c>
      <c r="B224" s="4005"/>
      <c r="C224" s="4005"/>
      <c r="D224" s="3898"/>
      <c r="E224" s="3563" t="s">
        <v>3794</v>
      </c>
      <c r="F224" s="3562">
        <v>40.43</v>
      </c>
      <c r="G224" s="3562">
        <v>6.55</v>
      </c>
      <c r="H224" s="3564" t="s">
        <v>3557</v>
      </c>
    </row>
    <row r="225" spans="1:8" s="3558" customFormat="1" ht="12">
      <c r="A225" s="3561">
        <v>41</v>
      </c>
      <c r="B225" s="4005"/>
      <c r="C225" s="4005"/>
      <c r="D225" s="3898"/>
      <c r="E225" s="3563" t="s">
        <v>3795</v>
      </c>
      <c r="F225" s="3562">
        <v>40.43</v>
      </c>
      <c r="G225" s="3562">
        <v>6.55</v>
      </c>
      <c r="H225" s="3564" t="s">
        <v>3557</v>
      </c>
    </row>
    <row r="226" spans="1:8" s="3558" customFormat="1" ht="12">
      <c r="A226" s="3561">
        <v>42</v>
      </c>
      <c r="B226" s="4005"/>
      <c r="C226" s="4005"/>
      <c r="D226" s="3898"/>
      <c r="E226" s="3563" t="s">
        <v>3796</v>
      </c>
      <c r="F226" s="3562">
        <v>40.43</v>
      </c>
      <c r="G226" s="3562">
        <v>6.55</v>
      </c>
      <c r="H226" s="3564" t="s">
        <v>3557</v>
      </c>
    </row>
    <row r="227" spans="1:8" s="3558" customFormat="1" ht="12">
      <c r="A227" s="3561">
        <v>43</v>
      </c>
      <c r="B227" s="4005"/>
      <c r="C227" s="4005"/>
      <c r="D227" s="3898"/>
      <c r="E227" s="3563" t="s">
        <v>3797</v>
      </c>
      <c r="F227" s="3562">
        <v>40.43</v>
      </c>
      <c r="G227" s="3562">
        <v>6.55</v>
      </c>
      <c r="H227" s="3564" t="s">
        <v>3557</v>
      </c>
    </row>
    <row r="228" spans="1:8" s="3558" customFormat="1" ht="12">
      <c r="A228" s="3561">
        <v>44</v>
      </c>
      <c r="B228" s="4005"/>
      <c r="C228" s="4005"/>
      <c r="D228" s="3898"/>
      <c r="E228" s="3563" t="s">
        <v>3798</v>
      </c>
      <c r="F228" s="3562">
        <v>80.86</v>
      </c>
      <c r="G228" s="3562">
        <v>13.12</v>
      </c>
      <c r="H228" s="3564" t="s">
        <v>3557</v>
      </c>
    </row>
    <row r="229" spans="1:8" s="3558" customFormat="1" ht="12">
      <c r="A229" s="3561">
        <v>45</v>
      </c>
      <c r="B229" s="4005"/>
      <c r="C229" s="4005"/>
      <c r="D229" s="3898"/>
      <c r="E229" s="3563" t="s">
        <v>3799</v>
      </c>
      <c r="F229" s="3562">
        <v>40.43</v>
      </c>
      <c r="G229" s="3562">
        <v>6.55</v>
      </c>
      <c r="H229" s="3564" t="s">
        <v>3557</v>
      </c>
    </row>
    <row r="230" spans="1:8" s="3558" customFormat="1" ht="12">
      <c r="A230" s="3561">
        <v>46</v>
      </c>
      <c r="B230" s="4005"/>
      <c r="C230" s="4005"/>
      <c r="D230" s="3898"/>
      <c r="E230" s="3563" t="s">
        <v>3800</v>
      </c>
      <c r="F230" s="3562">
        <v>40.43</v>
      </c>
      <c r="G230" s="3562">
        <v>6.55</v>
      </c>
      <c r="H230" s="3564" t="s">
        <v>3557</v>
      </c>
    </row>
    <row r="231" spans="1:8" s="3558" customFormat="1" ht="12">
      <c r="A231" s="3561">
        <v>47</v>
      </c>
      <c r="B231" s="4005"/>
      <c r="C231" s="4005"/>
      <c r="D231" s="3898"/>
      <c r="E231" s="3563" t="s">
        <v>3801</v>
      </c>
      <c r="F231" s="3562">
        <v>40.43</v>
      </c>
      <c r="G231" s="3562">
        <v>6.55</v>
      </c>
      <c r="H231" s="3564" t="s">
        <v>3557</v>
      </c>
    </row>
    <row r="232" spans="1:8" s="3558" customFormat="1" ht="12">
      <c r="A232" s="3561">
        <v>48</v>
      </c>
      <c r="B232" s="4005"/>
      <c r="C232" s="4005"/>
      <c r="D232" s="3898"/>
      <c r="E232" s="3563" t="s">
        <v>3802</v>
      </c>
      <c r="F232" s="3562">
        <v>40.43</v>
      </c>
      <c r="G232" s="3562">
        <v>6.55</v>
      </c>
      <c r="H232" s="3564" t="s">
        <v>3557</v>
      </c>
    </row>
    <row r="233" spans="1:8" s="3558" customFormat="1" ht="12">
      <c r="A233" s="3561">
        <v>49</v>
      </c>
      <c r="B233" s="4005"/>
      <c r="C233" s="4005"/>
      <c r="D233" s="3898"/>
      <c r="E233" s="3563" t="s">
        <v>3803</v>
      </c>
      <c r="F233" s="3562">
        <v>68.27</v>
      </c>
      <c r="G233" s="3562">
        <v>11.07</v>
      </c>
      <c r="H233" s="3564" t="s">
        <v>3557</v>
      </c>
    </row>
    <row r="234" spans="1:8" s="3558" customFormat="1" ht="12">
      <c r="A234" s="3561">
        <v>50</v>
      </c>
      <c r="B234" s="4005"/>
      <c r="C234" s="4005"/>
      <c r="D234" s="3898"/>
      <c r="E234" s="3563" t="s">
        <v>3804</v>
      </c>
      <c r="F234" s="3562">
        <v>40.43</v>
      </c>
      <c r="G234" s="3562">
        <v>6.55</v>
      </c>
      <c r="H234" s="3564" t="s">
        <v>3557</v>
      </c>
    </row>
    <row r="235" spans="1:8" s="3558" customFormat="1" ht="12">
      <c r="A235" s="3561">
        <v>51</v>
      </c>
      <c r="B235" s="4005"/>
      <c r="C235" s="4005"/>
      <c r="D235" s="3898"/>
      <c r="E235" s="3563" t="s">
        <v>3805</v>
      </c>
      <c r="F235" s="3562">
        <v>40.43</v>
      </c>
      <c r="G235" s="3562">
        <v>6.55</v>
      </c>
      <c r="H235" s="3564" t="s">
        <v>3557</v>
      </c>
    </row>
    <row r="236" spans="1:8" s="3558" customFormat="1" ht="12">
      <c r="A236" s="3561">
        <v>52</v>
      </c>
      <c r="B236" s="4005"/>
      <c r="C236" s="4005"/>
      <c r="D236" s="3898"/>
      <c r="E236" s="3563" t="s">
        <v>3806</v>
      </c>
      <c r="F236" s="3562">
        <v>40.43</v>
      </c>
      <c r="G236" s="3562">
        <v>6.55</v>
      </c>
      <c r="H236" s="3564" t="s">
        <v>3557</v>
      </c>
    </row>
    <row r="237" spans="1:8" s="3558" customFormat="1" ht="12">
      <c r="A237" s="3561">
        <v>53</v>
      </c>
      <c r="B237" s="4005"/>
      <c r="C237" s="4005"/>
      <c r="D237" s="3898"/>
      <c r="E237" s="3563" t="s">
        <v>3807</v>
      </c>
      <c r="F237" s="3562">
        <v>40.43</v>
      </c>
      <c r="G237" s="3562">
        <v>6.55</v>
      </c>
      <c r="H237" s="3564" t="s">
        <v>3557</v>
      </c>
    </row>
    <row r="238" spans="1:8" s="3558" customFormat="1" ht="12">
      <c r="A238" s="3561">
        <v>54</v>
      </c>
      <c r="B238" s="4005"/>
      <c r="C238" s="4005"/>
      <c r="D238" s="3898"/>
      <c r="E238" s="3563" t="s">
        <v>3808</v>
      </c>
      <c r="F238" s="3562">
        <v>80.86</v>
      </c>
      <c r="G238" s="3562">
        <v>13.12</v>
      </c>
      <c r="H238" s="3564" t="s">
        <v>3557</v>
      </c>
    </row>
    <row r="239" spans="1:8" s="3558" customFormat="1" ht="12">
      <c r="A239" s="3561">
        <v>55</v>
      </c>
      <c r="B239" s="4005"/>
      <c r="C239" s="4005"/>
      <c r="D239" s="3898"/>
      <c r="E239" s="3563" t="s">
        <v>3809</v>
      </c>
      <c r="F239" s="3562">
        <v>80.86</v>
      </c>
      <c r="G239" s="3562">
        <v>13.12</v>
      </c>
      <c r="H239" s="3564" t="s">
        <v>3557</v>
      </c>
    </row>
    <row r="240" spans="1:8" s="3558" customFormat="1" ht="12">
      <c r="A240" s="3561">
        <v>56</v>
      </c>
      <c r="B240" s="4005"/>
      <c r="C240" s="4005"/>
      <c r="D240" s="3898"/>
      <c r="E240" s="3563" t="s">
        <v>3810</v>
      </c>
      <c r="F240" s="3562">
        <v>80.86</v>
      </c>
      <c r="G240" s="3562">
        <v>13.12</v>
      </c>
      <c r="H240" s="3564" t="s">
        <v>3557</v>
      </c>
    </row>
    <row r="241" spans="1:8" s="3558" customFormat="1" ht="12">
      <c r="A241" s="3561">
        <v>57</v>
      </c>
      <c r="B241" s="4005"/>
      <c r="C241" s="4005"/>
      <c r="D241" s="3898"/>
      <c r="E241" s="3563" t="s">
        <v>3811</v>
      </c>
      <c r="F241" s="3562">
        <v>80.86</v>
      </c>
      <c r="G241" s="3562">
        <v>13.12</v>
      </c>
      <c r="H241" s="3564" t="s">
        <v>3557</v>
      </c>
    </row>
    <row r="242" spans="1:8" s="3558" customFormat="1" ht="12">
      <c r="A242" s="3561">
        <v>58</v>
      </c>
      <c r="B242" s="4005"/>
      <c r="C242" s="4005"/>
      <c r="D242" s="3898"/>
      <c r="E242" s="3563" t="s">
        <v>3812</v>
      </c>
      <c r="F242" s="3562">
        <v>80.86</v>
      </c>
      <c r="G242" s="3562">
        <v>13.12</v>
      </c>
      <c r="H242" s="3564" t="s">
        <v>3557</v>
      </c>
    </row>
    <row r="243" spans="1:8" s="3558" customFormat="1" ht="12">
      <c r="A243" s="3561">
        <v>59</v>
      </c>
      <c r="B243" s="4005"/>
      <c r="C243" s="4005"/>
      <c r="D243" s="3898"/>
      <c r="E243" s="3563" t="s">
        <v>3813</v>
      </c>
      <c r="F243" s="3562">
        <v>40.43</v>
      </c>
      <c r="G243" s="3562">
        <v>6.55</v>
      </c>
      <c r="H243" s="3564" t="s">
        <v>3557</v>
      </c>
    </row>
    <row r="244" spans="1:8" s="3558" customFormat="1" ht="12">
      <c r="A244" s="3561">
        <v>60</v>
      </c>
      <c r="B244" s="4005"/>
      <c r="C244" s="4005"/>
      <c r="D244" s="3898"/>
      <c r="E244" s="3563" t="s">
        <v>3814</v>
      </c>
      <c r="F244" s="3562">
        <v>40.43</v>
      </c>
      <c r="G244" s="3562">
        <v>6.55</v>
      </c>
      <c r="H244" s="3564" t="s">
        <v>3557</v>
      </c>
    </row>
    <row r="245" spans="1:8" s="3558" customFormat="1" ht="12">
      <c r="A245" s="3561">
        <v>61</v>
      </c>
      <c r="B245" s="4005"/>
      <c r="C245" s="4005"/>
      <c r="D245" s="3898"/>
      <c r="E245" s="3563" t="s">
        <v>3815</v>
      </c>
      <c r="F245" s="3562">
        <v>40.43</v>
      </c>
      <c r="G245" s="3562">
        <v>6.55</v>
      </c>
      <c r="H245" s="3564" t="s">
        <v>3557</v>
      </c>
    </row>
    <row r="246" spans="1:8" s="3558" customFormat="1" ht="12">
      <c r="A246" s="3561">
        <v>62</v>
      </c>
      <c r="B246" s="4005"/>
      <c r="C246" s="4005"/>
      <c r="D246" s="3898"/>
      <c r="E246" s="3563" t="s">
        <v>3816</v>
      </c>
      <c r="F246" s="3562">
        <v>40.43</v>
      </c>
      <c r="G246" s="3562">
        <v>6.55</v>
      </c>
      <c r="H246" s="3564" t="s">
        <v>3557</v>
      </c>
    </row>
    <row r="247" spans="1:8" s="3558" customFormat="1" ht="12">
      <c r="A247" s="3561">
        <v>63</v>
      </c>
      <c r="B247" s="4005"/>
      <c r="C247" s="4005"/>
      <c r="D247" s="3898"/>
      <c r="E247" s="3563" t="s">
        <v>3817</v>
      </c>
      <c r="F247" s="3562">
        <v>40.43</v>
      </c>
      <c r="G247" s="3562">
        <v>6.55</v>
      </c>
      <c r="H247" s="3564" t="s">
        <v>3557</v>
      </c>
    </row>
    <row r="248" spans="1:8" s="3558" customFormat="1" ht="12">
      <c r="A248" s="3561">
        <v>64</v>
      </c>
      <c r="B248" s="4005"/>
      <c r="C248" s="4005"/>
      <c r="D248" s="3898"/>
      <c r="E248" s="3563" t="s">
        <v>3818</v>
      </c>
      <c r="F248" s="3562">
        <v>40.43</v>
      </c>
      <c r="G248" s="3562">
        <v>6.55</v>
      </c>
      <c r="H248" s="3564" t="s">
        <v>3557</v>
      </c>
    </row>
    <row r="249" spans="1:8" s="3558" customFormat="1" ht="12">
      <c r="A249" s="3561">
        <v>65</v>
      </c>
      <c r="B249" s="4005"/>
      <c r="C249" s="4005"/>
      <c r="D249" s="3898"/>
      <c r="E249" s="3563" t="s">
        <v>3819</v>
      </c>
      <c r="F249" s="3562">
        <v>40.43</v>
      </c>
      <c r="G249" s="3562">
        <v>6.55</v>
      </c>
      <c r="H249" s="3564" t="s">
        <v>3557</v>
      </c>
    </row>
    <row r="250" spans="1:8" s="3558" customFormat="1" ht="12">
      <c r="A250" s="3561">
        <v>66</v>
      </c>
      <c r="B250" s="4005"/>
      <c r="C250" s="4005"/>
      <c r="D250" s="3898"/>
      <c r="E250" s="3563" t="s">
        <v>3820</v>
      </c>
      <c r="F250" s="3562">
        <v>40.43</v>
      </c>
      <c r="G250" s="3562">
        <v>6.55</v>
      </c>
      <c r="H250" s="3564" t="s">
        <v>3557</v>
      </c>
    </row>
    <row r="251" spans="1:8" s="3558" customFormat="1" ht="12">
      <c r="A251" s="3561">
        <v>67</v>
      </c>
      <c r="B251" s="4005"/>
      <c r="C251" s="4005"/>
      <c r="D251" s="3898"/>
      <c r="E251" s="3563" t="s">
        <v>3821</v>
      </c>
      <c r="F251" s="3562">
        <v>40.43</v>
      </c>
      <c r="G251" s="3562">
        <v>6.55</v>
      </c>
      <c r="H251" s="3564" t="s">
        <v>3557</v>
      </c>
    </row>
    <row r="252" spans="1:8" s="3558" customFormat="1" ht="12">
      <c r="A252" s="3561">
        <v>68</v>
      </c>
      <c r="B252" s="4005"/>
      <c r="C252" s="4005"/>
      <c r="D252" s="3898"/>
      <c r="E252" s="3563" t="s">
        <v>3822</v>
      </c>
      <c r="F252" s="3562">
        <v>40.43</v>
      </c>
      <c r="G252" s="3562">
        <v>6.55</v>
      </c>
      <c r="H252" s="3564" t="s">
        <v>3557</v>
      </c>
    </row>
    <row r="253" spans="1:8" s="3558" customFormat="1" ht="12">
      <c r="A253" s="3561">
        <v>69</v>
      </c>
      <c r="B253" s="4005"/>
      <c r="C253" s="4005"/>
      <c r="D253" s="3898"/>
      <c r="E253" s="3563" t="s">
        <v>3823</v>
      </c>
      <c r="F253" s="3562">
        <v>40.43</v>
      </c>
      <c r="G253" s="3562">
        <v>6.55</v>
      </c>
      <c r="H253" s="3564" t="s">
        <v>3557</v>
      </c>
    </row>
    <row r="254" spans="1:8" s="3558" customFormat="1" ht="12">
      <c r="A254" s="3561">
        <v>70</v>
      </c>
      <c r="B254" s="4005"/>
      <c r="C254" s="4005"/>
      <c r="D254" s="3898"/>
      <c r="E254" s="3563" t="s">
        <v>3824</v>
      </c>
      <c r="F254" s="3562">
        <v>40.43</v>
      </c>
      <c r="G254" s="3562">
        <v>6.55</v>
      </c>
      <c r="H254" s="3564" t="s">
        <v>3557</v>
      </c>
    </row>
    <row r="255" spans="1:8" s="3558" customFormat="1" ht="12">
      <c r="A255" s="3561">
        <v>71</v>
      </c>
      <c r="B255" s="4005"/>
      <c r="C255" s="4005"/>
      <c r="D255" s="3898"/>
      <c r="E255" s="3563" t="s">
        <v>3825</v>
      </c>
      <c r="F255" s="3562">
        <v>40.43</v>
      </c>
      <c r="G255" s="3562">
        <v>6.55</v>
      </c>
      <c r="H255" s="3564" t="s">
        <v>3557</v>
      </c>
    </row>
    <row r="256" spans="1:8" s="3558" customFormat="1" ht="12">
      <c r="A256" s="3561">
        <v>72</v>
      </c>
      <c r="B256" s="4005"/>
      <c r="C256" s="4005"/>
      <c r="D256" s="3898"/>
      <c r="E256" s="3563" t="s">
        <v>3826</v>
      </c>
      <c r="F256" s="3562">
        <v>40.43</v>
      </c>
      <c r="G256" s="3562">
        <v>6.55</v>
      </c>
      <c r="H256" s="3564" t="s">
        <v>3557</v>
      </c>
    </row>
    <row r="257" spans="1:8" s="3558" customFormat="1" ht="12">
      <c r="A257" s="3561">
        <v>73</v>
      </c>
      <c r="B257" s="4005"/>
      <c r="C257" s="4005"/>
      <c r="D257" s="3898"/>
      <c r="E257" s="3563" t="s">
        <v>3827</v>
      </c>
      <c r="F257" s="3562">
        <v>40.43</v>
      </c>
      <c r="G257" s="3562">
        <v>6.55</v>
      </c>
      <c r="H257" s="3564" t="s">
        <v>3557</v>
      </c>
    </row>
    <row r="258" spans="1:8" s="3558" customFormat="1" ht="12">
      <c r="A258" s="3561">
        <v>74</v>
      </c>
      <c r="B258" s="4005"/>
      <c r="C258" s="4005"/>
      <c r="D258" s="3898"/>
      <c r="E258" s="3563" t="s">
        <v>3828</v>
      </c>
      <c r="F258" s="3562">
        <v>40.43</v>
      </c>
      <c r="G258" s="3562">
        <v>6.55</v>
      </c>
      <c r="H258" s="3564" t="s">
        <v>3557</v>
      </c>
    </row>
    <row r="259" spans="1:8" s="3558" customFormat="1" ht="12">
      <c r="A259" s="3561">
        <v>75</v>
      </c>
      <c r="B259" s="4005" t="s">
        <v>3769</v>
      </c>
      <c r="C259" s="4005" t="s">
        <v>3770</v>
      </c>
      <c r="D259" s="3898" t="s">
        <v>3771</v>
      </c>
      <c r="E259" s="3563" t="s">
        <v>3829</v>
      </c>
      <c r="F259" s="3562">
        <v>40.43</v>
      </c>
      <c r="G259" s="3562">
        <v>6.55</v>
      </c>
      <c r="H259" s="3564" t="s">
        <v>3557</v>
      </c>
    </row>
    <row r="260" spans="1:8" s="3558" customFormat="1" ht="12">
      <c r="A260" s="3561">
        <v>76</v>
      </c>
      <c r="B260" s="4005"/>
      <c r="C260" s="4005"/>
      <c r="D260" s="3898"/>
      <c r="E260" s="3563" t="s">
        <v>3830</v>
      </c>
      <c r="F260" s="3562">
        <v>40.43</v>
      </c>
      <c r="G260" s="3562">
        <v>6.55</v>
      </c>
      <c r="H260" s="3564" t="s">
        <v>3557</v>
      </c>
    </row>
    <row r="261" spans="1:8" s="3558" customFormat="1" ht="12">
      <c r="A261" s="3561">
        <v>77</v>
      </c>
      <c r="B261" s="4005"/>
      <c r="C261" s="4005"/>
      <c r="D261" s="3898"/>
      <c r="E261" s="3563" t="s">
        <v>3831</v>
      </c>
      <c r="F261" s="3562">
        <v>40.43</v>
      </c>
      <c r="G261" s="3562">
        <v>6.55</v>
      </c>
      <c r="H261" s="3564" t="s">
        <v>3557</v>
      </c>
    </row>
    <row r="262" spans="1:8" s="3558" customFormat="1" ht="12">
      <c r="A262" s="3561">
        <v>78</v>
      </c>
      <c r="B262" s="4005"/>
      <c r="C262" s="4005"/>
      <c r="D262" s="3898"/>
      <c r="E262" s="3563" t="s">
        <v>3832</v>
      </c>
      <c r="F262" s="3562">
        <v>40.43</v>
      </c>
      <c r="G262" s="3562">
        <v>6.55</v>
      </c>
      <c r="H262" s="3564" t="s">
        <v>3557</v>
      </c>
    </row>
    <row r="263" spans="1:8" s="3558" customFormat="1" ht="12">
      <c r="A263" s="3561">
        <v>79</v>
      </c>
      <c r="B263" s="4005"/>
      <c r="C263" s="4005"/>
      <c r="D263" s="3898"/>
      <c r="E263" s="3563" t="s">
        <v>3833</v>
      </c>
      <c r="F263" s="3562">
        <v>40.43</v>
      </c>
      <c r="G263" s="3562">
        <v>6.55</v>
      </c>
      <c r="H263" s="3564" t="s">
        <v>3557</v>
      </c>
    </row>
    <row r="264" spans="1:8" s="3558" customFormat="1" ht="12">
      <c r="A264" s="3561">
        <v>80</v>
      </c>
      <c r="B264" s="4005"/>
      <c r="C264" s="4005"/>
      <c r="D264" s="3898"/>
      <c r="E264" s="3563" t="s">
        <v>3834</v>
      </c>
      <c r="F264" s="3562">
        <v>40.43</v>
      </c>
      <c r="G264" s="3562">
        <v>6.55</v>
      </c>
      <c r="H264" s="3564" t="s">
        <v>3557</v>
      </c>
    </row>
    <row r="265" spans="1:8" s="3558" customFormat="1" ht="12">
      <c r="A265" s="3561">
        <v>81</v>
      </c>
      <c r="B265" s="4005"/>
      <c r="C265" s="4005"/>
      <c r="D265" s="3898"/>
      <c r="E265" s="3563" t="s">
        <v>3835</v>
      </c>
      <c r="F265" s="3562">
        <v>40.43</v>
      </c>
      <c r="G265" s="3562">
        <v>6.55</v>
      </c>
      <c r="H265" s="3564" t="s">
        <v>3557</v>
      </c>
    </row>
    <row r="266" spans="1:8" s="3558" customFormat="1" ht="12">
      <c r="A266" s="3561">
        <v>82</v>
      </c>
      <c r="B266" s="4005"/>
      <c r="C266" s="4005"/>
      <c r="D266" s="3898"/>
      <c r="E266" s="3563" t="s">
        <v>3836</v>
      </c>
      <c r="F266" s="3562">
        <v>68.27</v>
      </c>
      <c r="G266" s="3562">
        <v>11.07</v>
      </c>
      <c r="H266" s="3564" t="s">
        <v>3557</v>
      </c>
    </row>
    <row r="267" spans="1:8" s="3558" customFormat="1" ht="12">
      <c r="A267" s="3561">
        <v>83</v>
      </c>
      <c r="B267" s="4005"/>
      <c r="C267" s="4005"/>
      <c r="D267" s="3898"/>
      <c r="E267" s="3563" t="s">
        <v>3837</v>
      </c>
      <c r="F267" s="3562">
        <v>68.27</v>
      </c>
      <c r="G267" s="3562">
        <v>11.07</v>
      </c>
      <c r="H267" s="3564" t="s">
        <v>3557</v>
      </c>
    </row>
    <row r="268" spans="1:8" s="3558" customFormat="1" ht="12">
      <c r="A268" s="3561">
        <v>84</v>
      </c>
      <c r="B268" s="4005"/>
      <c r="C268" s="4005"/>
      <c r="D268" s="3898"/>
      <c r="E268" s="3563" t="s">
        <v>3838</v>
      </c>
      <c r="F268" s="3562">
        <v>40.43</v>
      </c>
      <c r="G268" s="3562">
        <v>6.55</v>
      </c>
      <c r="H268" s="3564" t="s">
        <v>3557</v>
      </c>
    </row>
    <row r="269" spans="1:8" s="3558" customFormat="1" ht="12">
      <c r="A269" s="3561">
        <v>85</v>
      </c>
      <c r="B269" s="4005"/>
      <c r="C269" s="4005"/>
      <c r="D269" s="3898"/>
      <c r="E269" s="3563" t="s">
        <v>3839</v>
      </c>
      <c r="F269" s="3562">
        <v>40.43</v>
      </c>
      <c r="G269" s="3562">
        <v>6.55</v>
      </c>
      <c r="H269" s="3564" t="s">
        <v>3557</v>
      </c>
    </row>
    <row r="270" spans="1:8" s="3558" customFormat="1" ht="12">
      <c r="A270" s="3561">
        <v>86</v>
      </c>
      <c r="B270" s="4005"/>
      <c r="C270" s="4005"/>
      <c r="D270" s="3898"/>
      <c r="E270" s="3563" t="s">
        <v>3840</v>
      </c>
      <c r="F270" s="3562">
        <v>40.43</v>
      </c>
      <c r="G270" s="3562">
        <v>6.55</v>
      </c>
      <c r="H270" s="3564" t="s">
        <v>3557</v>
      </c>
    </row>
    <row r="271" spans="1:8" s="3558" customFormat="1" ht="12">
      <c r="A271" s="3561">
        <v>87</v>
      </c>
      <c r="B271" s="4005"/>
      <c r="C271" s="4005"/>
      <c r="D271" s="3898"/>
      <c r="E271" s="3563" t="s">
        <v>3841</v>
      </c>
      <c r="F271" s="3562">
        <v>40.43</v>
      </c>
      <c r="G271" s="3562">
        <v>6.55</v>
      </c>
      <c r="H271" s="3564" t="s">
        <v>3557</v>
      </c>
    </row>
    <row r="272" spans="1:8" s="3558" customFormat="1" ht="12">
      <c r="A272" s="3561">
        <v>88</v>
      </c>
      <c r="B272" s="4005"/>
      <c r="C272" s="4005"/>
      <c r="D272" s="3898"/>
      <c r="E272" s="3563" t="s">
        <v>3842</v>
      </c>
      <c r="F272" s="3562">
        <v>40.43</v>
      </c>
      <c r="G272" s="3562">
        <v>6.55</v>
      </c>
      <c r="H272" s="3564" t="s">
        <v>3557</v>
      </c>
    </row>
    <row r="273" spans="1:8" s="3558" customFormat="1" ht="12">
      <c r="A273" s="3561">
        <v>89</v>
      </c>
      <c r="B273" s="4005"/>
      <c r="C273" s="4005"/>
      <c r="D273" s="3898"/>
      <c r="E273" s="3563" t="s">
        <v>3843</v>
      </c>
      <c r="F273" s="3562">
        <v>40.43</v>
      </c>
      <c r="G273" s="3562">
        <v>6.55</v>
      </c>
      <c r="H273" s="3564" t="s">
        <v>3557</v>
      </c>
    </row>
    <row r="274" spans="1:8" s="3558" customFormat="1" ht="12">
      <c r="A274" s="3561">
        <v>90</v>
      </c>
      <c r="B274" s="4005"/>
      <c r="C274" s="4005"/>
      <c r="D274" s="3898"/>
      <c r="E274" s="3563" t="s">
        <v>3844</v>
      </c>
      <c r="F274" s="3562">
        <v>40.43</v>
      </c>
      <c r="G274" s="3562">
        <v>6.55</v>
      </c>
      <c r="H274" s="3564" t="s">
        <v>3557</v>
      </c>
    </row>
    <row r="275" spans="1:8" s="3558" customFormat="1" ht="12">
      <c r="A275" s="3561">
        <v>91</v>
      </c>
      <c r="B275" s="4005"/>
      <c r="C275" s="4005"/>
      <c r="D275" s="3898"/>
      <c r="E275" s="3563" t="s">
        <v>3845</v>
      </c>
      <c r="F275" s="3562">
        <v>40.43</v>
      </c>
      <c r="G275" s="3562">
        <v>6.55</v>
      </c>
      <c r="H275" s="3564" t="s">
        <v>3557</v>
      </c>
    </row>
    <row r="276" spans="1:8" s="3558" customFormat="1" ht="12">
      <c r="A276" s="3561">
        <v>92</v>
      </c>
      <c r="B276" s="4005"/>
      <c r="C276" s="4005"/>
      <c r="D276" s="3898"/>
      <c r="E276" s="3563" t="s">
        <v>3846</v>
      </c>
      <c r="F276" s="3562">
        <v>40.43</v>
      </c>
      <c r="G276" s="3562">
        <v>6.55</v>
      </c>
      <c r="H276" s="3564" t="s">
        <v>3557</v>
      </c>
    </row>
    <row r="277" spans="1:8" s="3558" customFormat="1" ht="12">
      <c r="A277" s="3561">
        <v>93</v>
      </c>
      <c r="B277" s="4005"/>
      <c r="C277" s="4005"/>
      <c r="D277" s="3898"/>
      <c r="E277" s="3563" t="s">
        <v>3847</v>
      </c>
      <c r="F277" s="3562">
        <v>40.43</v>
      </c>
      <c r="G277" s="3562">
        <v>6.55</v>
      </c>
      <c r="H277" s="3564" t="s">
        <v>3557</v>
      </c>
    </row>
    <row r="278" spans="1:8" s="3558" customFormat="1" ht="12">
      <c r="A278" s="3561">
        <v>94</v>
      </c>
      <c r="B278" s="4005"/>
      <c r="C278" s="4005"/>
      <c r="D278" s="3898"/>
      <c r="E278" s="3563" t="s">
        <v>3848</v>
      </c>
      <c r="F278" s="3562">
        <v>40.43</v>
      </c>
      <c r="G278" s="3562">
        <v>6.55</v>
      </c>
      <c r="H278" s="3564" t="s">
        <v>3557</v>
      </c>
    </row>
    <row r="279" spans="1:8" s="3558" customFormat="1" ht="12">
      <c r="A279" s="3561">
        <v>95</v>
      </c>
      <c r="B279" s="4005"/>
      <c r="C279" s="4005"/>
      <c r="D279" s="3898"/>
      <c r="E279" s="3563" t="s">
        <v>3849</v>
      </c>
      <c r="F279" s="3562">
        <v>80.86</v>
      </c>
      <c r="G279" s="3562">
        <v>13.12</v>
      </c>
      <c r="H279" s="3564" t="s">
        <v>3557</v>
      </c>
    </row>
    <row r="280" spans="1:8" s="3558" customFormat="1" ht="12">
      <c r="A280" s="3561">
        <v>96</v>
      </c>
      <c r="B280" s="4005"/>
      <c r="C280" s="4005"/>
      <c r="D280" s="3898"/>
      <c r="E280" s="3563" t="s">
        <v>3850</v>
      </c>
      <c r="F280" s="3562">
        <v>80.86</v>
      </c>
      <c r="G280" s="3562">
        <v>13.12</v>
      </c>
      <c r="H280" s="3564" t="s">
        <v>3557</v>
      </c>
    </row>
    <row r="281" spans="1:8" s="3558" customFormat="1" ht="12">
      <c r="A281" s="3561">
        <v>97</v>
      </c>
      <c r="B281" s="4005"/>
      <c r="C281" s="4005"/>
      <c r="D281" s="3898"/>
      <c r="E281" s="3563" t="s">
        <v>3851</v>
      </c>
      <c r="F281" s="3562">
        <v>40.43</v>
      </c>
      <c r="G281" s="3562">
        <v>6.55</v>
      </c>
      <c r="H281" s="3564" t="s">
        <v>3557</v>
      </c>
    </row>
    <row r="282" spans="1:8" s="3558" customFormat="1" ht="12">
      <c r="A282" s="3561">
        <v>98</v>
      </c>
      <c r="B282" s="4005"/>
      <c r="C282" s="4005"/>
      <c r="D282" s="3898"/>
      <c r="E282" s="3563" t="s">
        <v>3852</v>
      </c>
      <c r="F282" s="3562">
        <v>80.86</v>
      </c>
      <c r="G282" s="3562">
        <v>13.12</v>
      </c>
      <c r="H282" s="3564" t="s">
        <v>3557</v>
      </c>
    </row>
    <row r="283" spans="1:8" s="3558" customFormat="1" ht="12">
      <c r="A283" s="3561">
        <v>99</v>
      </c>
      <c r="B283" s="4005"/>
      <c r="C283" s="4005"/>
      <c r="D283" s="3898"/>
      <c r="E283" s="3563" t="s">
        <v>3853</v>
      </c>
      <c r="F283" s="3562">
        <v>80.86</v>
      </c>
      <c r="G283" s="3562">
        <v>13.12</v>
      </c>
      <c r="H283" s="3564" t="s">
        <v>3557</v>
      </c>
    </row>
    <row r="284" spans="1:8" s="3558" customFormat="1" ht="12">
      <c r="A284" s="3561">
        <v>100</v>
      </c>
      <c r="B284" s="4005"/>
      <c r="C284" s="4005"/>
      <c r="D284" s="3898"/>
      <c r="E284" s="3563" t="s">
        <v>3854</v>
      </c>
      <c r="F284" s="3562">
        <v>80.86</v>
      </c>
      <c r="G284" s="3562">
        <v>13.12</v>
      </c>
      <c r="H284" s="3564" t="s">
        <v>3557</v>
      </c>
    </row>
    <row r="285" spans="1:8" s="3558" customFormat="1" ht="12">
      <c r="A285" s="3561">
        <v>101</v>
      </c>
      <c r="B285" s="4005"/>
      <c r="C285" s="4005"/>
      <c r="D285" s="3898"/>
      <c r="E285" s="3563" t="s">
        <v>3855</v>
      </c>
      <c r="F285" s="3562">
        <v>80.86</v>
      </c>
      <c r="G285" s="3562">
        <v>13.12</v>
      </c>
      <c r="H285" s="3564" t="s">
        <v>3557</v>
      </c>
    </row>
    <row r="286" spans="1:8" s="3558" customFormat="1" ht="12">
      <c r="A286" s="3561">
        <v>102</v>
      </c>
      <c r="B286" s="4005"/>
      <c r="C286" s="4005"/>
      <c r="D286" s="3898"/>
      <c r="E286" s="3563" t="s">
        <v>3856</v>
      </c>
      <c r="F286" s="3562">
        <v>40.43</v>
      </c>
      <c r="G286" s="3562">
        <v>6.55</v>
      </c>
      <c r="H286" s="3564" t="s">
        <v>3557</v>
      </c>
    </row>
    <row r="287" spans="1:8" s="3558" customFormat="1" ht="12">
      <c r="A287" s="3561">
        <v>103</v>
      </c>
      <c r="B287" s="4005"/>
      <c r="C287" s="4005"/>
      <c r="D287" s="3898"/>
      <c r="E287" s="3563" t="s">
        <v>3857</v>
      </c>
      <c r="F287" s="3562">
        <v>40.43</v>
      </c>
      <c r="G287" s="3562">
        <v>6.55</v>
      </c>
      <c r="H287" s="3564" t="s">
        <v>3557</v>
      </c>
    </row>
    <row r="288" spans="1:8" s="3558" customFormat="1" ht="12">
      <c r="A288" s="3561">
        <v>104</v>
      </c>
      <c r="B288" s="4005"/>
      <c r="C288" s="4005"/>
      <c r="D288" s="3898"/>
      <c r="E288" s="3563" t="s">
        <v>3858</v>
      </c>
      <c r="F288" s="3562">
        <v>68.27</v>
      </c>
      <c r="G288" s="3562">
        <v>11.07</v>
      </c>
      <c r="H288" s="3564" t="s">
        <v>3557</v>
      </c>
    </row>
    <row r="289" spans="1:8" s="3558" customFormat="1" ht="12">
      <c r="A289" s="3561">
        <v>105</v>
      </c>
      <c r="B289" s="4005"/>
      <c r="C289" s="4005"/>
      <c r="D289" s="3898"/>
      <c r="E289" s="3563" t="s">
        <v>3859</v>
      </c>
      <c r="F289" s="3562">
        <v>40.43</v>
      </c>
      <c r="G289" s="3562">
        <v>6.55</v>
      </c>
      <c r="H289" s="3564" t="s">
        <v>3557</v>
      </c>
    </row>
    <row r="290" spans="1:8" s="3558" customFormat="1" ht="12">
      <c r="A290" s="3561">
        <v>106</v>
      </c>
      <c r="B290" s="4005"/>
      <c r="C290" s="4005"/>
      <c r="D290" s="3898"/>
      <c r="E290" s="3563" t="s">
        <v>3860</v>
      </c>
      <c r="F290" s="3562">
        <v>40.43</v>
      </c>
      <c r="G290" s="3562">
        <v>6.55</v>
      </c>
      <c r="H290" s="3564" t="s">
        <v>3557</v>
      </c>
    </row>
    <row r="291" spans="1:8" s="3558" customFormat="1" ht="12">
      <c r="A291" s="3561">
        <v>107</v>
      </c>
      <c r="B291" s="4005"/>
      <c r="C291" s="4005"/>
      <c r="D291" s="3898"/>
      <c r="E291" s="3563" t="s">
        <v>3861</v>
      </c>
      <c r="F291" s="3562">
        <v>40.43</v>
      </c>
      <c r="G291" s="3562">
        <v>6.55</v>
      </c>
      <c r="H291" s="3564" t="s">
        <v>3557</v>
      </c>
    </row>
    <row r="292" spans="1:8" s="3558" customFormat="1" ht="12">
      <c r="A292" s="3561">
        <v>108</v>
      </c>
      <c r="B292" s="4005"/>
      <c r="C292" s="4005"/>
      <c r="D292" s="3898"/>
      <c r="E292" s="3563" t="s">
        <v>3862</v>
      </c>
      <c r="F292" s="3562">
        <v>40.43</v>
      </c>
      <c r="G292" s="3562">
        <v>6.55</v>
      </c>
      <c r="H292" s="3564" t="s">
        <v>3557</v>
      </c>
    </row>
    <row r="293" spans="1:8" s="3558" customFormat="1" ht="12">
      <c r="A293" s="3561">
        <v>109</v>
      </c>
      <c r="B293" s="4005"/>
      <c r="C293" s="4005"/>
      <c r="D293" s="3898"/>
      <c r="E293" s="3563" t="s">
        <v>3863</v>
      </c>
      <c r="F293" s="3562">
        <v>40.43</v>
      </c>
      <c r="G293" s="3562">
        <v>6.55</v>
      </c>
      <c r="H293" s="3564" t="s">
        <v>3557</v>
      </c>
    </row>
    <row r="294" spans="1:8" s="3558" customFormat="1" ht="12">
      <c r="A294" s="3561">
        <v>110</v>
      </c>
      <c r="B294" s="4005"/>
      <c r="C294" s="4005"/>
      <c r="D294" s="3898"/>
      <c r="E294" s="3563" t="s">
        <v>3864</v>
      </c>
      <c r="F294" s="3562">
        <v>40.43</v>
      </c>
      <c r="G294" s="3562">
        <v>6.55</v>
      </c>
      <c r="H294" s="3564" t="s">
        <v>3557</v>
      </c>
    </row>
    <row r="295" spans="1:8" s="3558" customFormat="1" ht="12">
      <c r="A295" s="3561">
        <v>111</v>
      </c>
      <c r="B295" s="4005"/>
      <c r="C295" s="4005"/>
      <c r="D295" s="3898"/>
      <c r="E295" s="3563" t="s">
        <v>3865</v>
      </c>
      <c r="F295" s="3562">
        <v>80.86</v>
      </c>
      <c r="G295" s="3562">
        <v>13.12</v>
      </c>
      <c r="H295" s="3564" t="s">
        <v>3557</v>
      </c>
    </row>
    <row r="296" spans="1:8" s="3558" customFormat="1" ht="12">
      <c r="A296" s="3561">
        <v>112</v>
      </c>
      <c r="B296" s="4005" t="s">
        <v>3769</v>
      </c>
      <c r="C296" s="4005" t="s">
        <v>3770</v>
      </c>
      <c r="D296" s="3898" t="s">
        <v>3771</v>
      </c>
      <c r="E296" s="3563" t="s">
        <v>3866</v>
      </c>
      <c r="F296" s="3562">
        <v>80.86</v>
      </c>
      <c r="G296" s="3562">
        <v>13.12</v>
      </c>
      <c r="H296" s="3564" t="s">
        <v>3557</v>
      </c>
    </row>
    <row r="297" spans="1:8" s="3558" customFormat="1" ht="12">
      <c r="A297" s="3561">
        <v>113</v>
      </c>
      <c r="B297" s="4005"/>
      <c r="C297" s="4005"/>
      <c r="D297" s="3898"/>
      <c r="E297" s="3563" t="s">
        <v>3867</v>
      </c>
      <c r="F297" s="3562">
        <v>80.86</v>
      </c>
      <c r="G297" s="3562">
        <v>13.12</v>
      </c>
      <c r="H297" s="3564" t="s">
        <v>3557</v>
      </c>
    </row>
    <row r="298" spans="1:8" s="3558" customFormat="1" ht="12">
      <c r="A298" s="3561">
        <v>114</v>
      </c>
      <c r="B298" s="4005"/>
      <c r="C298" s="4005"/>
      <c r="D298" s="3898"/>
      <c r="E298" s="3563" t="s">
        <v>3868</v>
      </c>
      <c r="F298" s="3562">
        <v>40.43</v>
      </c>
      <c r="G298" s="3562">
        <v>6.55</v>
      </c>
      <c r="H298" s="3564" t="s">
        <v>3557</v>
      </c>
    </row>
    <row r="299" spans="1:8" s="3558" customFormat="1" ht="12">
      <c r="A299" s="3561">
        <v>115</v>
      </c>
      <c r="B299" s="4005"/>
      <c r="C299" s="4005"/>
      <c r="D299" s="3898"/>
      <c r="E299" s="3563" t="s">
        <v>3869</v>
      </c>
      <c r="F299" s="3562">
        <v>40.43</v>
      </c>
      <c r="G299" s="3562">
        <v>6.55</v>
      </c>
      <c r="H299" s="3564" t="s">
        <v>3557</v>
      </c>
    </row>
    <row r="300" spans="1:8" s="3558" customFormat="1" ht="12">
      <c r="A300" s="3561">
        <v>116</v>
      </c>
      <c r="B300" s="4005"/>
      <c r="C300" s="4005"/>
      <c r="D300" s="3898"/>
      <c r="E300" s="3563" t="s">
        <v>3870</v>
      </c>
      <c r="F300" s="3562">
        <v>40.43</v>
      </c>
      <c r="G300" s="3562">
        <v>6.55</v>
      </c>
      <c r="H300" s="3564" t="s">
        <v>3557</v>
      </c>
    </row>
    <row r="301" spans="1:8" s="3558" customFormat="1" ht="12">
      <c r="A301" s="3561">
        <v>117</v>
      </c>
      <c r="B301" s="4005"/>
      <c r="C301" s="4005"/>
      <c r="D301" s="3898"/>
      <c r="E301" s="3563" t="s">
        <v>3871</v>
      </c>
      <c r="F301" s="3562">
        <v>40.43</v>
      </c>
      <c r="G301" s="3562">
        <v>6.55</v>
      </c>
      <c r="H301" s="3564" t="s">
        <v>3557</v>
      </c>
    </row>
    <row r="302" spans="1:8" s="3558" customFormat="1" ht="12">
      <c r="A302" s="3561">
        <v>118</v>
      </c>
      <c r="B302" s="4005"/>
      <c r="C302" s="4005"/>
      <c r="D302" s="3898"/>
      <c r="E302" s="3563" t="s">
        <v>3872</v>
      </c>
      <c r="F302" s="3562">
        <v>40.43</v>
      </c>
      <c r="G302" s="3562">
        <v>6.55</v>
      </c>
      <c r="H302" s="3564" t="s">
        <v>3557</v>
      </c>
    </row>
    <row r="303" spans="1:8" s="3558" customFormat="1" ht="12">
      <c r="A303" s="3561">
        <v>119</v>
      </c>
      <c r="B303" s="4005"/>
      <c r="C303" s="4005"/>
      <c r="D303" s="3898"/>
      <c r="E303" s="3563" t="s">
        <v>3873</v>
      </c>
      <c r="F303" s="3562">
        <v>40.43</v>
      </c>
      <c r="G303" s="3562">
        <v>6.55</v>
      </c>
      <c r="H303" s="3564" t="s">
        <v>3557</v>
      </c>
    </row>
    <row r="304" spans="1:8" s="3558" customFormat="1" ht="12">
      <c r="A304" s="3561">
        <v>120</v>
      </c>
      <c r="B304" s="4005"/>
      <c r="C304" s="4005"/>
      <c r="D304" s="3898"/>
      <c r="E304" s="3563" t="s">
        <v>3874</v>
      </c>
      <c r="F304" s="3562">
        <v>40.43</v>
      </c>
      <c r="G304" s="3562">
        <v>6.55</v>
      </c>
      <c r="H304" s="3564" t="s">
        <v>3557</v>
      </c>
    </row>
    <row r="305" spans="1:8" s="3558" customFormat="1" ht="12">
      <c r="A305" s="3561">
        <v>121</v>
      </c>
      <c r="B305" s="4005"/>
      <c r="C305" s="4005"/>
      <c r="D305" s="3898"/>
      <c r="E305" s="3563" t="s">
        <v>3875</v>
      </c>
      <c r="F305" s="3562">
        <v>40.43</v>
      </c>
      <c r="G305" s="3562">
        <v>6.55</v>
      </c>
      <c r="H305" s="3564" t="s">
        <v>3557</v>
      </c>
    </row>
    <row r="306" spans="1:8" s="3558" customFormat="1" ht="12">
      <c r="A306" s="3561">
        <v>122</v>
      </c>
      <c r="B306" s="4005"/>
      <c r="C306" s="4005"/>
      <c r="D306" s="3898"/>
      <c r="E306" s="3563" t="s">
        <v>3876</v>
      </c>
      <c r="F306" s="3562">
        <v>40.43</v>
      </c>
      <c r="G306" s="3562">
        <v>6.55</v>
      </c>
      <c r="H306" s="3564" t="s">
        <v>3557</v>
      </c>
    </row>
    <row r="307" spans="1:8" s="3558" customFormat="1" ht="12">
      <c r="A307" s="3561">
        <v>123</v>
      </c>
      <c r="B307" s="4005"/>
      <c r="C307" s="4005"/>
      <c r="D307" s="3898"/>
      <c r="E307" s="3563" t="s">
        <v>3877</v>
      </c>
      <c r="F307" s="3562">
        <v>40.43</v>
      </c>
      <c r="G307" s="3562">
        <v>6.55</v>
      </c>
      <c r="H307" s="3564" t="s">
        <v>3557</v>
      </c>
    </row>
    <row r="308" spans="1:8" s="3558" customFormat="1" ht="12">
      <c r="A308" s="3561">
        <v>124</v>
      </c>
      <c r="B308" s="4005"/>
      <c r="C308" s="4005"/>
      <c r="D308" s="3898"/>
      <c r="E308" s="3563" t="s">
        <v>3878</v>
      </c>
      <c r="F308" s="3562">
        <v>40.43</v>
      </c>
      <c r="G308" s="3562">
        <v>6.55</v>
      </c>
      <c r="H308" s="3564" t="s">
        <v>3557</v>
      </c>
    </row>
    <row r="309" spans="1:8" s="3558" customFormat="1" ht="12">
      <c r="A309" s="3561">
        <v>125</v>
      </c>
      <c r="B309" s="4005"/>
      <c r="C309" s="4005"/>
      <c r="D309" s="3898"/>
      <c r="E309" s="3563" t="s">
        <v>3879</v>
      </c>
      <c r="F309" s="3562">
        <v>40.43</v>
      </c>
      <c r="G309" s="3562">
        <v>6.55</v>
      </c>
      <c r="H309" s="3564" t="s">
        <v>3557</v>
      </c>
    </row>
    <row r="310" spans="1:8" s="3558" customFormat="1" ht="12">
      <c r="A310" s="3561">
        <v>126</v>
      </c>
      <c r="B310" s="4005"/>
      <c r="C310" s="4005"/>
      <c r="D310" s="3898"/>
      <c r="E310" s="3563" t="s">
        <v>3880</v>
      </c>
      <c r="F310" s="3562">
        <v>40.43</v>
      </c>
      <c r="G310" s="3562">
        <v>6.55</v>
      </c>
      <c r="H310" s="3564" t="s">
        <v>3557</v>
      </c>
    </row>
    <row r="311" spans="1:8" s="3558" customFormat="1" ht="12">
      <c r="A311" s="3561">
        <v>127</v>
      </c>
      <c r="B311" s="4005"/>
      <c r="C311" s="4005"/>
      <c r="D311" s="3898"/>
      <c r="E311" s="3563" t="s">
        <v>3881</v>
      </c>
      <c r="F311" s="3562">
        <v>40.43</v>
      </c>
      <c r="G311" s="3562">
        <v>6.55</v>
      </c>
      <c r="H311" s="3564" t="s">
        <v>3557</v>
      </c>
    </row>
    <row r="312" spans="1:8" s="3558" customFormat="1" ht="12">
      <c r="A312" s="3561">
        <v>128</v>
      </c>
      <c r="B312" s="4005"/>
      <c r="C312" s="4005"/>
      <c r="D312" s="3898"/>
      <c r="E312" s="3563" t="s">
        <v>3882</v>
      </c>
      <c r="F312" s="3562">
        <v>40.43</v>
      </c>
      <c r="G312" s="3562">
        <v>6.55</v>
      </c>
      <c r="H312" s="3564" t="s">
        <v>3557</v>
      </c>
    </row>
    <row r="313" spans="1:8" s="3558" customFormat="1" ht="12">
      <c r="A313" s="3561">
        <v>129</v>
      </c>
      <c r="B313" s="4005"/>
      <c r="C313" s="4005"/>
      <c r="D313" s="3898"/>
      <c r="E313" s="3563" t="s">
        <v>3883</v>
      </c>
      <c r="F313" s="3562">
        <v>40.43</v>
      </c>
      <c r="G313" s="3562">
        <v>6.55</v>
      </c>
      <c r="H313" s="3564" t="s">
        <v>3557</v>
      </c>
    </row>
    <row r="314" spans="1:8" s="3558" customFormat="1" ht="12">
      <c r="A314" s="3561">
        <v>130</v>
      </c>
      <c r="B314" s="4005"/>
      <c r="C314" s="4005"/>
      <c r="D314" s="3898"/>
      <c r="E314" s="3563" t="s">
        <v>3884</v>
      </c>
      <c r="F314" s="3562">
        <v>40.43</v>
      </c>
      <c r="G314" s="3562">
        <v>6.55</v>
      </c>
      <c r="H314" s="3564" t="s">
        <v>3557</v>
      </c>
    </row>
    <row r="315" spans="1:8" s="3558" customFormat="1" ht="12">
      <c r="A315" s="3561">
        <v>131</v>
      </c>
      <c r="B315" s="4005"/>
      <c r="C315" s="4005"/>
      <c r="D315" s="3898"/>
      <c r="E315" s="3563" t="s">
        <v>3885</v>
      </c>
      <c r="F315" s="3562">
        <v>40.43</v>
      </c>
      <c r="G315" s="3562">
        <v>6.55</v>
      </c>
      <c r="H315" s="3564" t="s">
        <v>3557</v>
      </c>
    </row>
    <row r="316" spans="1:8" s="3558" customFormat="1" ht="12">
      <c r="A316" s="3561">
        <v>132</v>
      </c>
      <c r="B316" s="4005"/>
      <c r="C316" s="4005"/>
      <c r="D316" s="3898"/>
      <c r="E316" s="3563" t="s">
        <v>3886</v>
      </c>
      <c r="F316" s="3562">
        <v>40.43</v>
      </c>
      <c r="G316" s="3562">
        <v>6.55</v>
      </c>
      <c r="H316" s="3564" t="s">
        <v>3557</v>
      </c>
    </row>
    <row r="317" spans="1:8" s="3558" customFormat="1" ht="12">
      <c r="A317" s="3561">
        <v>133</v>
      </c>
      <c r="B317" s="4005"/>
      <c r="C317" s="4005"/>
      <c r="D317" s="3898"/>
      <c r="E317" s="3563" t="s">
        <v>3887</v>
      </c>
      <c r="F317" s="3562">
        <v>40.43</v>
      </c>
      <c r="G317" s="3562">
        <v>6.55</v>
      </c>
      <c r="H317" s="3564" t="s">
        <v>3557</v>
      </c>
    </row>
    <row r="318" spans="1:8" s="3558" customFormat="1" ht="12">
      <c r="A318" s="3561">
        <v>134</v>
      </c>
      <c r="B318" s="4005"/>
      <c r="C318" s="4005"/>
      <c r="D318" s="3898"/>
      <c r="E318" s="3563" t="s">
        <v>3888</v>
      </c>
      <c r="F318" s="3562">
        <v>40.43</v>
      </c>
      <c r="G318" s="3562">
        <v>6.55</v>
      </c>
      <c r="H318" s="3564" t="s">
        <v>3557</v>
      </c>
    </row>
    <row r="319" spans="1:8" s="3558" customFormat="1" ht="12">
      <c r="A319" s="3561">
        <v>135</v>
      </c>
      <c r="B319" s="4005"/>
      <c r="C319" s="4005"/>
      <c r="D319" s="3898"/>
      <c r="E319" s="3563" t="s">
        <v>3889</v>
      </c>
      <c r="F319" s="3562">
        <v>40.43</v>
      </c>
      <c r="G319" s="3562">
        <v>6.55</v>
      </c>
      <c r="H319" s="3564" t="s">
        <v>3557</v>
      </c>
    </row>
    <row r="320" spans="1:8" s="3558" customFormat="1" ht="12">
      <c r="A320" s="3561">
        <v>136</v>
      </c>
      <c r="B320" s="4005"/>
      <c r="C320" s="4005"/>
      <c r="D320" s="3898"/>
      <c r="E320" s="3563" t="s">
        <v>3890</v>
      </c>
      <c r="F320" s="3562">
        <v>40.43</v>
      </c>
      <c r="G320" s="3562">
        <v>6.55</v>
      </c>
      <c r="H320" s="3564" t="s">
        <v>3557</v>
      </c>
    </row>
    <row r="321" spans="1:8" s="3558" customFormat="1" ht="12">
      <c r="A321" s="3561">
        <v>137</v>
      </c>
      <c r="B321" s="4005"/>
      <c r="C321" s="4005"/>
      <c r="D321" s="3898"/>
      <c r="E321" s="3563" t="s">
        <v>3891</v>
      </c>
      <c r="F321" s="3562">
        <v>40.43</v>
      </c>
      <c r="G321" s="3562">
        <v>6.55</v>
      </c>
      <c r="H321" s="3564" t="s">
        <v>3557</v>
      </c>
    </row>
    <row r="322" spans="1:8" s="3558" customFormat="1" ht="12">
      <c r="A322" s="3561">
        <v>138</v>
      </c>
      <c r="B322" s="4005"/>
      <c r="C322" s="4005"/>
      <c r="D322" s="3898"/>
      <c r="E322" s="3563" t="s">
        <v>3892</v>
      </c>
      <c r="F322" s="3562">
        <v>40.43</v>
      </c>
      <c r="G322" s="3562">
        <v>6.55</v>
      </c>
      <c r="H322" s="3564" t="s">
        <v>3557</v>
      </c>
    </row>
    <row r="323" spans="1:8" s="3558" customFormat="1" ht="12">
      <c r="A323" s="3561">
        <v>139</v>
      </c>
      <c r="B323" s="4005"/>
      <c r="C323" s="4005"/>
      <c r="D323" s="3898"/>
      <c r="E323" s="3563" t="s">
        <v>3893</v>
      </c>
      <c r="F323" s="3562">
        <v>40.43</v>
      </c>
      <c r="G323" s="3562">
        <v>6.55</v>
      </c>
      <c r="H323" s="3564" t="s">
        <v>3557</v>
      </c>
    </row>
    <row r="324" spans="1:8" s="3558" customFormat="1" ht="12">
      <c r="A324" s="3561">
        <v>140</v>
      </c>
      <c r="B324" s="4005"/>
      <c r="C324" s="4005"/>
      <c r="D324" s="3898"/>
      <c r="E324" s="3563" t="s">
        <v>3894</v>
      </c>
      <c r="F324" s="3562">
        <v>40.43</v>
      </c>
      <c r="G324" s="3562">
        <v>6.55</v>
      </c>
      <c r="H324" s="3564" t="s">
        <v>3557</v>
      </c>
    </row>
    <row r="325" spans="1:8" s="3558" customFormat="1" ht="12">
      <c r="A325" s="3561">
        <v>141</v>
      </c>
      <c r="B325" s="4005"/>
      <c r="C325" s="4005"/>
      <c r="D325" s="3898"/>
      <c r="E325" s="3563" t="s">
        <v>3895</v>
      </c>
      <c r="F325" s="3562">
        <v>40.43</v>
      </c>
      <c r="G325" s="3562">
        <v>6.55</v>
      </c>
      <c r="H325" s="3564" t="s">
        <v>3557</v>
      </c>
    </row>
    <row r="326" spans="1:8" s="3558" customFormat="1" ht="12">
      <c r="A326" s="3561">
        <v>142</v>
      </c>
      <c r="B326" s="4005"/>
      <c r="C326" s="4005"/>
      <c r="D326" s="3898"/>
      <c r="E326" s="3563" t="s">
        <v>3896</v>
      </c>
      <c r="F326" s="3562">
        <v>40.43</v>
      </c>
      <c r="G326" s="3562">
        <v>6.55</v>
      </c>
      <c r="H326" s="3564" t="s">
        <v>3557</v>
      </c>
    </row>
    <row r="327" spans="1:8" s="3558" customFormat="1" ht="12">
      <c r="A327" s="3561">
        <v>143</v>
      </c>
      <c r="B327" s="4005"/>
      <c r="C327" s="4005"/>
      <c r="D327" s="3898"/>
      <c r="E327" s="3563" t="s">
        <v>3897</v>
      </c>
      <c r="F327" s="3562">
        <v>40.43</v>
      </c>
      <c r="G327" s="3562">
        <v>6.55</v>
      </c>
      <c r="H327" s="3564" t="s">
        <v>3557</v>
      </c>
    </row>
    <row r="328" spans="1:8" s="3558" customFormat="1" ht="12">
      <c r="A328" s="3561">
        <v>144</v>
      </c>
      <c r="B328" s="4005"/>
      <c r="C328" s="4005"/>
      <c r="D328" s="3898"/>
      <c r="E328" s="3563" t="s">
        <v>3898</v>
      </c>
      <c r="F328" s="3562">
        <v>40.43</v>
      </c>
      <c r="G328" s="3562">
        <v>6.55</v>
      </c>
      <c r="H328" s="3564" t="s">
        <v>3557</v>
      </c>
    </row>
    <row r="329" spans="1:8" s="3558" customFormat="1" ht="12">
      <c r="A329" s="3561">
        <v>145</v>
      </c>
      <c r="B329" s="4005"/>
      <c r="C329" s="4005"/>
      <c r="D329" s="3898"/>
      <c r="E329" s="3563" t="s">
        <v>3899</v>
      </c>
      <c r="F329" s="3562">
        <v>40.43</v>
      </c>
      <c r="G329" s="3562">
        <v>6.56</v>
      </c>
      <c r="H329" s="3564" t="s">
        <v>3557</v>
      </c>
    </row>
    <row r="330" spans="1:8" s="3558" customFormat="1" ht="12">
      <c r="A330" s="3561">
        <v>146</v>
      </c>
      <c r="B330" s="4005"/>
      <c r="C330" s="4005"/>
      <c r="D330" s="3898"/>
      <c r="E330" s="3563" t="s">
        <v>3900</v>
      </c>
      <c r="F330" s="3562">
        <v>40.43</v>
      </c>
      <c r="G330" s="3562">
        <v>6.56</v>
      </c>
      <c r="H330" s="3564" t="s">
        <v>3557</v>
      </c>
    </row>
    <row r="331" spans="1:8" s="3558" customFormat="1" ht="12">
      <c r="A331" s="3561">
        <v>147</v>
      </c>
      <c r="B331" s="4005"/>
      <c r="C331" s="4005"/>
      <c r="D331" s="3898"/>
      <c r="E331" s="3563" t="s">
        <v>3901</v>
      </c>
      <c r="F331" s="3562">
        <v>40.43</v>
      </c>
      <c r="G331" s="3562">
        <v>6.56</v>
      </c>
      <c r="H331" s="3564" t="s">
        <v>3557</v>
      </c>
    </row>
    <row r="332" spans="1:8" s="3558" customFormat="1" ht="12">
      <c r="A332" s="3561">
        <v>148</v>
      </c>
      <c r="B332" s="4005"/>
      <c r="C332" s="4005"/>
      <c r="D332" s="3898"/>
      <c r="E332" s="3563" t="s">
        <v>3902</v>
      </c>
      <c r="F332" s="3562">
        <v>40.43</v>
      </c>
      <c r="G332" s="3562">
        <v>6.56</v>
      </c>
      <c r="H332" s="3564" t="s">
        <v>3557</v>
      </c>
    </row>
    <row r="333" spans="1:8" s="3558" customFormat="1" ht="12">
      <c r="A333" s="3561">
        <v>149</v>
      </c>
      <c r="B333" s="4005" t="s">
        <v>3769</v>
      </c>
      <c r="C333" s="4005" t="s">
        <v>3770</v>
      </c>
      <c r="D333" s="3898" t="s">
        <v>3771</v>
      </c>
      <c r="E333" s="3563" t="s">
        <v>3903</v>
      </c>
      <c r="F333" s="3562">
        <v>40.43</v>
      </c>
      <c r="G333" s="3562">
        <v>6.56</v>
      </c>
      <c r="H333" s="3564" t="s">
        <v>3557</v>
      </c>
    </row>
    <row r="334" spans="1:8" s="3558" customFormat="1" ht="12">
      <c r="A334" s="3561">
        <v>150</v>
      </c>
      <c r="B334" s="4005"/>
      <c r="C334" s="4005"/>
      <c r="D334" s="3898"/>
      <c r="E334" s="3563" t="s">
        <v>3904</v>
      </c>
      <c r="F334" s="3562">
        <v>80.86</v>
      </c>
      <c r="G334" s="3562">
        <v>13.12</v>
      </c>
      <c r="H334" s="3564" t="s">
        <v>3557</v>
      </c>
    </row>
    <row r="335" spans="1:8" s="3558" customFormat="1" ht="12">
      <c r="A335" s="3561">
        <v>151</v>
      </c>
      <c r="B335" s="4005"/>
      <c r="C335" s="4005"/>
      <c r="D335" s="3898"/>
      <c r="E335" s="3563" t="s">
        <v>3905</v>
      </c>
      <c r="F335" s="3562">
        <v>80.86</v>
      </c>
      <c r="G335" s="3562">
        <v>13.12</v>
      </c>
      <c r="H335" s="3564" t="s">
        <v>3557</v>
      </c>
    </row>
    <row r="336" spans="1:8" s="3558" customFormat="1" ht="12">
      <c r="A336" s="3561">
        <v>152</v>
      </c>
      <c r="B336" s="4005"/>
      <c r="C336" s="4005"/>
      <c r="D336" s="3898"/>
      <c r="E336" s="3563" t="s">
        <v>3651</v>
      </c>
      <c r="F336" s="3562">
        <v>40.43</v>
      </c>
      <c r="G336" s="3562">
        <v>6.56</v>
      </c>
      <c r="H336" s="3564" t="s">
        <v>3557</v>
      </c>
    </row>
    <row r="337" spans="1:8" s="3558" customFormat="1" ht="12">
      <c r="A337" s="3561">
        <v>153</v>
      </c>
      <c r="B337" s="4005"/>
      <c r="C337" s="4005"/>
      <c r="D337" s="3898"/>
      <c r="E337" s="3563" t="s">
        <v>3652</v>
      </c>
      <c r="F337" s="3562">
        <v>40.43</v>
      </c>
      <c r="G337" s="3562">
        <v>6.56</v>
      </c>
      <c r="H337" s="3564" t="s">
        <v>3557</v>
      </c>
    </row>
    <row r="338" spans="1:8" s="3558" customFormat="1" ht="12">
      <c r="A338" s="3561">
        <v>154</v>
      </c>
      <c r="B338" s="4005"/>
      <c r="C338" s="4005"/>
      <c r="D338" s="3898"/>
      <c r="E338" s="3563" t="s">
        <v>3653</v>
      </c>
      <c r="F338" s="3562">
        <v>40.43</v>
      </c>
      <c r="G338" s="3562">
        <v>6.56</v>
      </c>
      <c r="H338" s="3564" t="s">
        <v>3557</v>
      </c>
    </row>
    <row r="339" spans="1:8" s="3558" customFormat="1" ht="12">
      <c r="A339" s="3561">
        <v>155</v>
      </c>
      <c r="B339" s="4005"/>
      <c r="C339" s="4005"/>
      <c r="D339" s="3898"/>
      <c r="E339" s="3563" t="s">
        <v>3654</v>
      </c>
      <c r="F339" s="3562">
        <v>40.43</v>
      </c>
      <c r="G339" s="3562">
        <v>6.56</v>
      </c>
      <c r="H339" s="3564" t="s">
        <v>3557</v>
      </c>
    </row>
    <row r="340" spans="1:8" s="3558" customFormat="1" ht="12">
      <c r="A340" s="3561">
        <v>156</v>
      </c>
      <c r="B340" s="4005"/>
      <c r="C340" s="4005"/>
      <c r="D340" s="3898"/>
      <c r="E340" s="3563" t="s">
        <v>3655</v>
      </c>
      <c r="F340" s="3562">
        <v>40.43</v>
      </c>
      <c r="G340" s="3562">
        <v>6.56</v>
      </c>
      <c r="H340" s="3564" t="s">
        <v>3557</v>
      </c>
    </row>
    <row r="341" spans="1:8" s="3558" customFormat="1" ht="12">
      <c r="A341" s="3561">
        <v>157</v>
      </c>
      <c r="B341" s="4005"/>
      <c r="C341" s="4005"/>
      <c r="D341" s="3898"/>
      <c r="E341" s="3563" t="s">
        <v>3656</v>
      </c>
      <c r="F341" s="3562">
        <v>40.43</v>
      </c>
      <c r="G341" s="3562">
        <v>6.56</v>
      </c>
      <c r="H341" s="3564" t="s">
        <v>3557</v>
      </c>
    </row>
    <row r="342" spans="1:8" s="3558" customFormat="1" ht="12">
      <c r="A342" s="3561">
        <v>158</v>
      </c>
      <c r="B342" s="4005"/>
      <c r="C342" s="4005"/>
      <c r="D342" s="3898"/>
      <c r="E342" s="3563" t="s">
        <v>3658</v>
      </c>
      <c r="F342" s="3562">
        <v>40.43</v>
      </c>
      <c r="G342" s="3562">
        <v>6.56</v>
      </c>
      <c r="H342" s="3564" t="s">
        <v>3557</v>
      </c>
    </row>
    <row r="343" spans="1:8" s="3558" customFormat="1" ht="12">
      <c r="A343" s="3561">
        <v>159</v>
      </c>
      <c r="B343" s="4005"/>
      <c r="C343" s="4005"/>
      <c r="D343" s="3898"/>
      <c r="E343" s="3563" t="s">
        <v>3660</v>
      </c>
      <c r="F343" s="3562">
        <v>40.43</v>
      </c>
      <c r="G343" s="3562">
        <v>6.56</v>
      </c>
      <c r="H343" s="3564" t="s">
        <v>3557</v>
      </c>
    </row>
    <row r="344" spans="1:8" s="3558" customFormat="1" ht="12">
      <c r="A344" s="3561">
        <v>160</v>
      </c>
      <c r="B344" s="4005"/>
      <c r="C344" s="4005"/>
      <c r="D344" s="3898"/>
      <c r="E344" s="3563" t="s">
        <v>3662</v>
      </c>
      <c r="F344" s="3562">
        <v>40.43</v>
      </c>
      <c r="G344" s="3562">
        <v>6.56</v>
      </c>
      <c r="H344" s="3564" t="s">
        <v>3557</v>
      </c>
    </row>
    <row r="345" spans="1:8" s="3558" customFormat="1" ht="12">
      <c r="A345" s="3561">
        <v>161</v>
      </c>
      <c r="B345" s="4005"/>
      <c r="C345" s="4005"/>
      <c r="D345" s="3898"/>
      <c r="E345" s="3563" t="s">
        <v>3665</v>
      </c>
      <c r="F345" s="3562">
        <v>40.43</v>
      </c>
      <c r="G345" s="3562">
        <v>6.56</v>
      </c>
      <c r="H345" s="3564" t="s">
        <v>3557</v>
      </c>
    </row>
    <row r="346" spans="1:8" s="3558" customFormat="1" ht="12">
      <c r="A346" s="3561">
        <v>162</v>
      </c>
      <c r="B346" s="4005"/>
      <c r="C346" s="4005"/>
      <c r="D346" s="3898"/>
      <c r="E346" s="3563" t="s">
        <v>3666</v>
      </c>
      <c r="F346" s="3562">
        <v>40.43</v>
      </c>
      <c r="G346" s="3562">
        <v>6.56</v>
      </c>
      <c r="H346" s="3564" t="s">
        <v>3557</v>
      </c>
    </row>
    <row r="347" spans="1:8" s="3558" customFormat="1" ht="12">
      <c r="A347" s="3561">
        <v>163</v>
      </c>
      <c r="B347" s="4005"/>
      <c r="C347" s="4005"/>
      <c r="D347" s="3898"/>
      <c r="E347" s="3563" t="s">
        <v>3667</v>
      </c>
      <c r="F347" s="3562">
        <v>40.43</v>
      </c>
      <c r="G347" s="3562">
        <v>6.56</v>
      </c>
      <c r="H347" s="3564" t="s">
        <v>3557</v>
      </c>
    </row>
    <row r="348" spans="1:8" s="3558" customFormat="1" ht="12">
      <c r="A348" s="3561">
        <v>164</v>
      </c>
      <c r="B348" s="4005"/>
      <c r="C348" s="4005"/>
      <c r="D348" s="3898"/>
      <c r="E348" s="3563" t="s">
        <v>3670</v>
      </c>
      <c r="F348" s="3562">
        <v>40.43</v>
      </c>
      <c r="G348" s="3562">
        <v>6.56</v>
      </c>
      <c r="H348" s="3564" t="s">
        <v>3557</v>
      </c>
    </row>
    <row r="349" spans="1:8" s="3558" customFormat="1" ht="12">
      <c r="A349" s="3561">
        <v>165</v>
      </c>
      <c r="B349" s="4005"/>
      <c r="C349" s="4005"/>
      <c r="D349" s="3898"/>
      <c r="E349" s="3563" t="s">
        <v>3681</v>
      </c>
      <c r="F349" s="3562">
        <v>40.43</v>
      </c>
      <c r="G349" s="3562">
        <v>6.56</v>
      </c>
      <c r="H349" s="3564" t="s">
        <v>3557</v>
      </c>
    </row>
    <row r="350" spans="1:8" s="3558" customFormat="1" ht="12">
      <c r="A350" s="3561">
        <v>166</v>
      </c>
      <c r="B350" s="4005"/>
      <c r="C350" s="4005"/>
      <c r="D350" s="3898"/>
      <c r="E350" s="3563" t="s">
        <v>3682</v>
      </c>
      <c r="F350" s="3562">
        <v>40.43</v>
      </c>
      <c r="G350" s="3562">
        <v>6.56</v>
      </c>
      <c r="H350" s="3564" t="s">
        <v>3557</v>
      </c>
    </row>
    <row r="351" spans="1:8" s="3558" customFormat="1" ht="12">
      <c r="A351" s="3561">
        <v>167</v>
      </c>
      <c r="B351" s="4005"/>
      <c r="C351" s="4005"/>
      <c r="D351" s="3898"/>
      <c r="E351" s="3563" t="s">
        <v>3683</v>
      </c>
      <c r="F351" s="3562">
        <v>40.43</v>
      </c>
      <c r="G351" s="3562">
        <v>6.56</v>
      </c>
      <c r="H351" s="3564" t="s">
        <v>3557</v>
      </c>
    </row>
    <row r="352" spans="1:8" s="3558" customFormat="1" ht="12">
      <c r="A352" s="3561">
        <v>168</v>
      </c>
      <c r="B352" s="4005"/>
      <c r="C352" s="4005"/>
      <c r="D352" s="3898"/>
      <c r="E352" s="3563" t="s">
        <v>3684</v>
      </c>
      <c r="F352" s="3562">
        <v>40.43</v>
      </c>
      <c r="G352" s="3562">
        <v>6.56</v>
      </c>
      <c r="H352" s="3564" t="s">
        <v>3557</v>
      </c>
    </row>
    <row r="353" spans="1:8" s="3558" customFormat="1" ht="12">
      <c r="A353" s="3561">
        <v>169</v>
      </c>
      <c r="B353" s="4005"/>
      <c r="C353" s="4005"/>
      <c r="D353" s="3898"/>
      <c r="E353" s="3563" t="s">
        <v>3685</v>
      </c>
      <c r="F353" s="3562">
        <v>40.43</v>
      </c>
      <c r="G353" s="3562">
        <v>6.56</v>
      </c>
      <c r="H353" s="3564" t="s">
        <v>3557</v>
      </c>
    </row>
    <row r="354" spans="1:8" s="3558" customFormat="1" ht="12">
      <c r="A354" s="3561">
        <v>170</v>
      </c>
      <c r="B354" s="4005"/>
      <c r="C354" s="4005"/>
      <c r="D354" s="3898"/>
      <c r="E354" s="3563" t="s">
        <v>3686</v>
      </c>
      <c r="F354" s="3562">
        <v>40.43</v>
      </c>
      <c r="G354" s="3562">
        <v>6.56</v>
      </c>
      <c r="H354" s="3564" t="s">
        <v>3557</v>
      </c>
    </row>
    <row r="355" spans="1:8" s="3558" customFormat="1" ht="12">
      <c r="A355" s="3561">
        <v>171</v>
      </c>
      <c r="B355" s="4005"/>
      <c r="C355" s="4005"/>
      <c r="D355" s="3898"/>
      <c r="E355" s="3563" t="s">
        <v>3687</v>
      </c>
      <c r="F355" s="3562">
        <v>40.43</v>
      </c>
      <c r="G355" s="3562">
        <v>6.56</v>
      </c>
      <c r="H355" s="3564" t="s">
        <v>3557</v>
      </c>
    </row>
    <row r="356" spans="1:8" s="3558" customFormat="1" ht="12">
      <c r="A356" s="3561">
        <v>172</v>
      </c>
      <c r="B356" s="4005"/>
      <c r="C356" s="4005"/>
      <c r="D356" s="3898"/>
      <c r="E356" s="3563" t="s">
        <v>3693</v>
      </c>
      <c r="F356" s="3562">
        <v>40.43</v>
      </c>
      <c r="G356" s="3562">
        <v>6.56</v>
      </c>
      <c r="H356" s="3564" t="s">
        <v>3557</v>
      </c>
    </row>
    <row r="357" spans="1:8" s="3558" customFormat="1" ht="12">
      <c r="A357" s="3561">
        <v>173</v>
      </c>
      <c r="B357" s="4005"/>
      <c r="C357" s="4005"/>
      <c r="D357" s="3898"/>
      <c r="E357" s="3563" t="s">
        <v>3694</v>
      </c>
      <c r="F357" s="3562">
        <v>40.43</v>
      </c>
      <c r="G357" s="3562">
        <v>6.56</v>
      </c>
      <c r="H357" s="3564" t="s">
        <v>3557</v>
      </c>
    </row>
    <row r="358" spans="1:8" s="3558" customFormat="1" ht="12">
      <c r="A358" s="3561">
        <v>174</v>
      </c>
      <c r="B358" s="4005"/>
      <c r="C358" s="4005"/>
      <c r="D358" s="3898"/>
      <c r="E358" s="3563" t="s">
        <v>3906</v>
      </c>
      <c r="F358" s="3562">
        <v>40.43</v>
      </c>
      <c r="G358" s="3562">
        <v>6.56</v>
      </c>
      <c r="H358" s="3564" t="s">
        <v>3557</v>
      </c>
    </row>
    <row r="359" spans="1:8" s="3558" customFormat="1" ht="12">
      <c r="A359" s="3561">
        <v>175</v>
      </c>
      <c r="B359" s="4005"/>
      <c r="C359" s="4005"/>
      <c r="D359" s="3898"/>
      <c r="E359" s="3563" t="s">
        <v>3695</v>
      </c>
      <c r="F359" s="3562">
        <v>40.43</v>
      </c>
      <c r="G359" s="3562">
        <v>6.56</v>
      </c>
      <c r="H359" s="3564" t="s">
        <v>3557</v>
      </c>
    </row>
    <row r="360" spans="1:8" s="3558" customFormat="1" ht="12">
      <c r="A360" s="3561">
        <v>176</v>
      </c>
      <c r="B360" s="4005"/>
      <c r="C360" s="4005"/>
      <c r="D360" s="3898"/>
      <c r="E360" s="3563" t="s">
        <v>3907</v>
      </c>
      <c r="F360" s="3562">
        <v>40.43</v>
      </c>
      <c r="G360" s="3562">
        <v>6.56</v>
      </c>
      <c r="H360" s="3564" t="s">
        <v>3557</v>
      </c>
    </row>
    <row r="361" spans="1:8" s="3558" customFormat="1" ht="12">
      <c r="A361" s="3561">
        <v>177</v>
      </c>
      <c r="B361" s="4005"/>
      <c r="C361" s="4005"/>
      <c r="D361" s="3898"/>
      <c r="E361" s="3563" t="s">
        <v>3908</v>
      </c>
      <c r="F361" s="3562">
        <v>80.86</v>
      </c>
      <c r="G361" s="3562">
        <v>13.12</v>
      </c>
      <c r="H361" s="3564" t="s">
        <v>3557</v>
      </c>
    </row>
    <row r="362" spans="1:8" s="3558" customFormat="1" ht="12">
      <c r="A362" s="3561">
        <v>178</v>
      </c>
      <c r="B362" s="4005"/>
      <c r="C362" s="4005"/>
      <c r="D362" s="3898"/>
      <c r="E362" s="3563" t="s">
        <v>3909</v>
      </c>
      <c r="F362" s="3562">
        <v>80.86</v>
      </c>
      <c r="G362" s="3562">
        <v>13.12</v>
      </c>
      <c r="H362" s="3564" t="s">
        <v>3557</v>
      </c>
    </row>
    <row r="363" spans="1:8" s="3558" customFormat="1" ht="12">
      <c r="A363" s="3561">
        <v>179</v>
      </c>
      <c r="B363" s="4005"/>
      <c r="C363" s="4005"/>
      <c r="D363" s="3898"/>
      <c r="E363" s="3563" t="s">
        <v>3910</v>
      </c>
      <c r="F363" s="3562">
        <v>80.86</v>
      </c>
      <c r="G363" s="3562">
        <v>13.12</v>
      </c>
      <c r="H363" s="3564" t="s">
        <v>3557</v>
      </c>
    </row>
    <row r="364" spans="1:8" s="3558" customFormat="1" ht="12">
      <c r="A364" s="3561">
        <v>180</v>
      </c>
      <c r="B364" s="4005" t="s">
        <v>3769</v>
      </c>
      <c r="C364" s="4005" t="s">
        <v>3770</v>
      </c>
      <c r="D364" s="3898" t="s">
        <v>3771</v>
      </c>
      <c r="E364" s="3565" t="s">
        <v>3911</v>
      </c>
      <c r="F364" s="3562">
        <v>80.86</v>
      </c>
      <c r="G364" s="3562">
        <v>13.12</v>
      </c>
      <c r="H364" s="3564" t="s">
        <v>3557</v>
      </c>
    </row>
    <row r="365" spans="1:8" s="3558" customFormat="1" ht="12">
      <c r="A365" s="3561">
        <v>181</v>
      </c>
      <c r="B365" s="4005"/>
      <c r="C365" s="4005"/>
      <c r="D365" s="3898"/>
      <c r="E365" s="3565" t="s">
        <v>3912</v>
      </c>
      <c r="F365" s="3562">
        <v>80.86</v>
      </c>
      <c r="G365" s="3562">
        <v>13.12</v>
      </c>
      <c r="H365" s="3564" t="s">
        <v>3557</v>
      </c>
    </row>
    <row r="366" spans="1:8" s="3558" customFormat="1" ht="12">
      <c r="A366" s="3561">
        <v>182</v>
      </c>
      <c r="B366" s="4005"/>
      <c r="C366" s="4005"/>
      <c r="D366" s="3898"/>
      <c r="E366" s="3565" t="s">
        <v>3913</v>
      </c>
      <c r="F366" s="3562">
        <v>68.27</v>
      </c>
      <c r="G366" s="3562">
        <v>11.07</v>
      </c>
      <c r="H366" s="3564" t="s">
        <v>3557</v>
      </c>
    </row>
    <row r="367" spans="1:8" s="3558" customFormat="1" ht="12">
      <c r="A367" s="3561">
        <v>183</v>
      </c>
      <c r="B367" s="4005"/>
      <c r="C367" s="4005"/>
      <c r="D367" s="3898"/>
      <c r="E367" s="3565" t="s">
        <v>3914</v>
      </c>
      <c r="F367" s="3562">
        <v>40.43</v>
      </c>
      <c r="G367" s="3562">
        <v>6.56</v>
      </c>
      <c r="H367" s="3564" t="s">
        <v>3557</v>
      </c>
    </row>
    <row r="368" spans="1:8" s="3558" customFormat="1" ht="12">
      <c r="A368" s="3561">
        <v>184</v>
      </c>
      <c r="B368" s="4005"/>
      <c r="C368" s="4005"/>
      <c r="D368" s="3898"/>
      <c r="E368" s="3565" t="s">
        <v>3915</v>
      </c>
      <c r="F368" s="3562">
        <v>80.86</v>
      </c>
      <c r="G368" s="3562">
        <v>13.12</v>
      </c>
      <c r="H368" s="3564" t="s">
        <v>3557</v>
      </c>
    </row>
    <row r="369" spans="1:8" s="3558" customFormat="1" ht="12">
      <c r="A369" s="3561">
        <v>185</v>
      </c>
      <c r="B369" s="4005"/>
      <c r="C369" s="4005"/>
      <c r="D369" s="3898"/>
      <c r="E369" s="3565" t="s">
        <v>3916</v>
      </c>
      <c r="F369" s="3562">
        <v>80.86</v>
      </c>
      <c r="G369" s="3562">
        <v>13.12</v>
      </c>
      <c r="H369" s="3564" t="s">
        <v>3557</v>
      </c>
    </row>
    <row r="370" spans="1:8" s="3558" customFormat="1" ht="12">
      <c r="A370" s="3561">
        <v>186</v>
      </c>
      <c r="B370" s="4005"/>
      <c r="C370" s="4005"/>
      <c r="D370" s="3898"/>
      <c r="E370" s="3565" t="s">
        <v>3917</v>
      </c>
      <c r="F370" s="3562">
        <v>40.43</v>
      </c>
      <c r="G370" s="3562">
        <v>6.56</v>
      </c>
      <c r="H370" s="3564" t="s">
        <v>3557</v>
      </c>
    </row>
    <row r="371" spans="1:8" s="3558" customFormat="1" ht="12">
      <c r="A371" s="3561">
        <v>187</v>
      </c>
      <c r="B371" s="4005"/>
      <c r="C371" s="4005"/>
      <c r="D371" s="3898"/>
      <c r="E371" s="3565" t="s">
        <v>3918</v>
      </c>
      <c r="F371" s="3562">
        <v>40.43</v>
      </c>
      <c r="G371" s="3562">
        <v>6.56</v>
      </c>
      <c r="H371" s="3564" t="s">
        <v>3557</v>
      </c>
    </row>
    <row r="372" spans="1:8" s="3558" customFormat="1" ht="12">
      <c r="A372" s="3561">
        <v>188</v>
      </c>
      <c r="B372" s="4005"/>
      <c r="C372" s="4005"/>
      <c r="D372" s="3898"/>
      <c r="E372" s="3565" t="s">
        <v>3919</v>
      </c>
      <c r="F372" s="3562">
        <v>40.43</v>
      </c>
      <c r="G372" s="3562">
        <v>6.56</v>
      </c>
      <c r="H372" s="3564" t="s">
        <v>3557</v>
      </c>
    </row>
    <row r="373" spans="1:8" s="3558" customFormat="1" ht="12">
      <c r="A373" s="3561">
        <v>189</v>
      </c>
      <c r="B373" s="4005"/>
      <c r="C373" s="4005"/>
      <c r="D373" s="3898"/>
      <c r="E373" s="3565" t="s">
        <v>3920</v>
      </c>
      <c r="F373" s="3562">
        <v>40.43</v>
      </c>
      <c r="G373" s="3562">
        <v>6.56</v>
      </c>
      <c r="H373" s="3564" t="s">
        <v>3557</v>
      </c>
    </row>
    <row r="374" spans="1:8" s="3558" customFormat="1" ht="12">
      <c r="A374" s="3561">
        <v>190</v>
      </c>
      <c r="B374" s="4005"/>
      <c r="C374" s="4005"/>
      <c r="D374" s="3898"/>
      <c r="E374" s="3565" t="s">
        <v>3921</v>
      </c>
      <c r="F374" s="3562">
        <v>40.43</v>
      </c>
      <c r="G374" s="3562">
        <v>6.56</v>
      </c>
      <c r="H374" s="3564" t="s">
        <v>3557</v>
      </c>
    </row>
    <row r="375" spans="1:8" s="3558" customFormat="1" ht="12">
      <c r="A375" s="3561">
        <v>191</v>
      </c>
      <c r="B375" s="4005"/>
      <c r="C375" s="4005"/>
      <c r="D375" s="3898"/>
      <c r="E375" s="3565" t="s">
        <v>3922</v>
      </c>
      <c r="F375" s="3562">
        <v>40.43</v>
      </c>
      <c r="G375" s="3562">
        <v>6.56</v>
      </c>
      <c r="H375" s="3564" t="s">
        <v>3557</v>
      </c>
    </row>
    <row r="376" spans="1:8" s="3558" customFormat="1" ht="12">
      <c r="A376" s="3561">
        <v>192</v>
      </c>
      <c r="B376" s="4005"/>
      <c r="C376" s="4005"/>
      <c r="D376" s="3898"/>
      <c r="E376" s="3565" t="s">
        <v>3923</v>
      </c>
      <c r="F376" s="3562">
        <v>40.43</v>
      </c>
      <c r="G376" s="3562">
        <v>6.56</v>
      </c>
      <c r="H376" s="3564" t="s">
        <v>3557</v>
      </c>
    </row>
    <row r="377" spans="1:8" s="3558" customFormat="1" ht="12">
      <c r="A377" s="3561">
        <v>193</v>
      </c>
      <c r="B377" s="4005"/>
      <c r="C377" s="4005"/>
      <c r="D377" s="3898"/>
      <c r="E377" s="3565" t="s">
        <v>3924</v>
      </c>
      <c r="F377" s="3562">
        <v>40.43</v>
      </c>
      <c r="G377" s="3562">
        <v>6.56</v>
      </c>
      <c r="H377" s="3564" t="s">
        <v>3557</v>
      </c>
    </row>
    <row r="378" spans="1:8" s="3558" customFormat="1" ht="12">
      <c r="A378" s="3561">
        <v>194</v>
      </c>
      <c r="B378" s="4005"/>
      <c r="C378" s="4005"/>
      <c r="D378" s="3898"/>
      <c r="E378" s="3565" t="s">
        <v>3925</v>
      </c>
      <c r="F378" s="3562">
        <v>40.43</v>
      </c>
      <c r="G378" s="3562">
        <v>6.56</v>
      </c>
      <c r="H378" s="3564" t="s">
        <v>3557</v>
      </c>
    </row>
    <row r="379" spans="1:8" s="3558" customFormat="1" ht="12">
      <c r="A379" s="3561">
        <v>195</v>
      </c>
      <c r="B379" s="4005"/>
      <c r="C379" s="4005"/>
      <c r="D379" s="3898"/>
      <c r="E379" s="3565" t="s">
        <v>3926</v>
      </c>
      <c r="F379" s="3562">
        <v>40.43</v>
      </c>
      <c r="G379" s="3562">
        <v>6.56</v>
      </c>
      <c r="H379" s="3564" t="s">
        <v>3557</v>
      </c>
    </row>
    <row r="380" spans="1:8" s="3558" customFormat="1" ht="12">
      <c r="A380" s="3561">
        <v>196</v>
      </c>
      <c r="B380" s="4005"/>
      <c r="C380" s="4005"/>
      <c r="D380" s="3898"/>
      <c r="E380" s="3565" t="s">
        <v>3927</v>
      </c>
      <c r="F380" s="3562">
        <v>40.43</v>
      </c>
      <c r="G380" s="3562">
        <v>6.56</v>
      </c>
      <c r="H380" s="3564" t="s">
        <v>3557</v>
      </c>
    </row>
    <row r="381" spans="1:8" s="3558" customFormat="1" ht="12">
      <c r="A381" s="3561">
        <v>197</v>
      </c>
      <c r="B381" s="4005"/>
      <c r="C381" s="4005"/>
      <c r="D381" s="3898"/>
      <c r="E381" s="3565" t="s">
        <v>3928</v>
      </c>
      <c r="F381" s="3562">
        <v>40.43</v>
      </c>
      <c r="G381" s="3562">
        <v>6.56</v>
      </c>
      <c r="H381" s="3564" t="s">
        <v>3557</v>
      </c>
    </row>
    <row r="382" spans="1:8" s="3558" customFormat="1" ht="12">
      <c r="A382" s="3561">
        <v>198</v>
      </c>
      <c r="B382" s="4005"/>
      <c r="C382" s="4005"/>
      <c r="D382" s="3898"/>
      <c r="E382" s="3565" t="s">
        <v>3929</v>
      </c>
      <c r="F382" s="3562">
        <v>40.43</v>
      </c>
      <c r="G382" s="3562">
        <v>6.56</v>
      </c>
      <c r="H382" s="3564" t="s">
        <v>3557</v>
      </c>
    </row>
    <row r="383" spans="1:8" s="3558" customFormat="1" ht="12">
      <c r="A383" s="3561">
        <v>199</v>
      </c>
      <c r="B383" s="4005"/>
      <c r="C383" s="4005"/>
      <c r="D383" s="3898"/>
      <c r="E383" s="3565" t="s">
        <v>3930</v>
      </c>
      <c r="F383" s="3562">
        <v>40.43</v>
      </c>
      <c r="G383" s="3562">
        <v>6.56</v>
      </c>
      <c r="H383" s="3564" t="s">
        <v>3557</v>
      </c>
    </row>
    <row r="384" spans="1:8" s="3558" customFormat="1" ht="12">
      <c r="A384" s="3561">
        <v>200</v>
      </c>
      <c r="B384" s="4005"/>
      <c r="C384" s="4005"/>
      <c r="D384" s="3898"/>
      <c r="E384" s="3565" t="s">
        <v>3931</v>
      </c>
      <c r="F384" s="3562">
        <v>40.43</v>
      </c>
      <c r="G384" s="3562">
        <v>6.56</v>
      </c>
      <c r="H384" s="3564" t="s">
        <v>3557</v>
      </c>
    </row>
    <row r="385" spans="1:8" s="3558" customFormat="1" ht="12">
      <c r="A385" s="3561">
        <v>201</v>
      </c>
      <c r="B385" s="4005"/>
      <c r="C385" s="4005"/>
      <c r="D385" s="3898"/>
      <c r="E385" s="3565" t="s">
        <v>3932</v>
      </c>
      <c r="F385" s="3562">
        <v>40.43</v>
      </c>
      <c r="G385" s="3562">
        <v>6.56</v>
      </c>
      <c r="H385" s="3564" t="s">
        <v>3557</v>
      </c>
    </row>
    <row r="386" spans="1:8" s="3558" customFormat="1" ht="12">
      <c r="A386" s="3561">
        <v>202</v>
      </c>
      <c r="B386" s="4005"/>
      <c r="C386" s="4005"/>
      <c r="D386" s="3898"/>
      <c r="E386" s="3565" t="s">
        <v>3933</v>
      </c>
      <c r="F386" s="3562">
        <v>40.43</v>
      </c>
      <c r="G386" s="3562">
        <v>6.56</v>
      </c>
      <c r="H386" s="3564" t="s">
        <v>3557</v>
      </c>
    </row>
    <row r="387" spans="1:8" s="3558" customFormat="1" ht="12">
      <c r="A387" s="3561">
        <v>203</v>
      </c>
      <c r="B387" s="4005"/>
      <c r="C387" s="4005"/>
      <c r="D387" s="3898"/>
      <c r="E387" s="3565" t="s">
        <v>3934</v>
      </c>
      <c r="F387" s="3562">
        <v>40.43</v>
      </c>
      <c r="G387" s="3562">
        <v>6.56</v>
      </c>
      <c r="H387" s="3564" t="s">
        <v>3557</v>
      </c>
    </row>
    <row r="388" spans="1:8" s="3558" customFormat="1" ht="12">
      <c r="A388" s="3561">
        <v>204</v>
      </c>
      <c r="B388" s="4005"/>
      <c r="C388" s="4005"/>
      <c r="D388" s="3898"/>
      <c r="E388" s="3565" t="s">
        <v>3935</v>
      </c>
      <c r="F388" s="3562">
        <v>40.43</v>
      </c>
      <c r="G388" s="3562">
        <v>6.56</v>
      </c>
      <c r="H388" s="3564" t="s">
        <v>3557</v>
      </c>
    </row>
    <row r="389" spans="1:8" s="3558" customFormat="1" ht="12">
      <c r="A389" s="3561">
        <v>205</v>
      </c>
      <c r="B389" s="4005"/>
      <c r="C389" s="4005"/>
      <c r="D389" s="3898"/>
      <c r="E389" s="3565" t="s">
        <v>3936</v>
      </c>
      <c r="F389" s="3562">
        <v>40.43</v>
      </c>
      <c r="G389" s="3562">
        <v>6.56</v>
      </c>
      <c r="H389" s="3564" t="s">
        <v>3557</v>
      </c>
    </row>
    <row r="390" spans="1:8" s="3558" customFormat="1" ht="12">
      <c r="A390" s="3561">
        <v>206</v>
      </c>
      <c r="B390" s="4005"/>
      <c r="C390" s="4005"/>
      <c r="D390" s="3898"/>
      <c r="E390" s="3565" t="s">
        <v>3937</v>
      </c>
      <c r="F390" s="3562">
        <v>40.43</v>
      </c>
      <c r="G390" s="3562">
        <v>6.56</v>
      </c>
      <c r="H390" s="3564" t="s">
        <v>3557</v>
      </c>
    </row>
    <row r="391" spans="1:8" s="3558" customFormat="1" ht="12">
      <c r="A391" s="3561">
        <v>207</v>
      </c>
      <c r="B391" s="4005"/>
      <c r="C391" s="4005"/>
      <c r="D391" s="3898"/>
      <c r="E391" s="3565" t="s">
        <v>3938</v>
      </c>
      <c r="F391" s="3562">
        <v>40.43</v>
      </c>
      <c r="G391" s="3562">
        <v>6.56</v>
      </c>
      <c r="H391" s="3564" t="s">
        <v>3557</v>
      </c>
    </row>
    <row r="392" spans="1:8" s="3558" customFormat="1" ht="12">
      <c r="A392" s="3561">
        <v>208</v>
      </c>
      <c r="B392" s="4005"/>
      <c r="C392" s="4005"/>
      <c r="D392" s="3898"/>
      <c r="E392" s="3565" t="s">
        <v>3939</v>
      </c>
      <c r="F392" s="3562">
        <v>40.43</v>
      </c>
      <c r="G392" s="3562">
        <v>6.56</v>
      </c>
      <c r="H392" s="3564" t="s">
        <v>3557</v>
      </c>
    </row>
    <row r="393" spans="1:8" s="3558" customFormat="1" ht="12">
      <c r="A393" s="3561">
        <v>209</v>
      </c>
      <c r="B393" s="4005"/>
      <c r="C393" s="4005"/>
      <c r="D393" s="3898"/>
      <c r="E393" s="3565" t="s">
        <v>3940</v>
      </c>
      <c r="F393" s="3562">
        <v>40.43</v>
      </c>
      <c r="G393" s="3562">
        <v>6.56</v>
      </c>
      <c r="H393" s="3564" t="s">
        <v>3557</v>
      </c>
    </row>
    <row r="394" spans="1:8" s="3558" customFormat="1" ht="12">
      <c r="A394" s="3561">
        <v>210</v>
      </c>
      <c r="B394" s="4005"/>
      <c r="C394" s="4005"/>
      <c r="D394" s="3898"/>
      <c r="E394" s="3565" t="s">
        <v>3941</v>
      </c>
      <c r="F394" s="3562">
        <v>40.43</v>
      </c>
      <c r="G394" s="3562">
        <v>6.56</v>
      </c>
      <c r="H394" s="3564" t="s">
        <v>3557</v>
      </c>
    </row>
    <row r="395" spans="1:8" s="3558" customFormat="1" ht="12">
      <c r="A395" s="3561">
        <v>211</v>
      </c>
      <c r="B395" s="4005"/>
      <c r="C395" s="4005"/>
      <c r="D395" s="3898"/>
      <c r="E395" s="3565" t="s">
        <v>3942</v>
      </c>
      <c r="F395" s="3562">
        <v>40.43</v>
      </c>
      <c r="G395" s="3562">
        <v>6.56</v>
      </c>
      <c r="H395" s="3564" t="s">
        <v>3557</v>
      </c>
    </row>
    <row r="396" spans="1:8" s="3558" customFormat="1" ht="12">
      <c r="A396" s="3561">
        <v>212</v>
      </c>
      <c r="B396" s="4005"/>
      <c r="C396" s="4005"/>
      <c r="D396" s="3898"/>
      <c r="E396" s="3565" t="s">
        <v>3943</v>
      </c>
      <c r="F396" s="3562">
        <v>40.43</v>
      </c>
      <c r="G396" s="3562">
        <v>6.56</v>
      </c>
      <c r="H396" s="3564" t="s">
        <v>3557</v>
      </c>
    </row>
    <row r="397" spans="1:8" s="3558" customFormat="1" ht="12">
      <c r="A397" s="3561">
        <v>213</v>
      </c>
      <c r="B397" s="4005"/>
      <c r="C397" s="4005"/>
      <c r="D397" s="3898"/>
      <c r="E397" s="3565" t="s">
        <v>3944</v>
      </c>
      <c r="F397" s="3562">
        <v>40.43</v>
      </c>
      <c r="G397" s="3562">
        <v>6.56</v>
      </c>
      <c r="H397" s="3564" t="s">
        <v>3557</v>
      </c>
    </row>
    <row r="398" spans="1:8" s="3558" customFormat="1" ht="12">
      <c r="A398" s="3561">
        <v>214</v>
      </c>
      <c r="B398" s="4005"/>
      <c r="C398" s="4005"/>
      <c r="D398" s="3898"/>
      <c r="E398" s="3565" t="s">
        <v>3945</v>
      </c>
      <c r="F398" s="3562">
        <v>40.43</v>
      </c>
      <c r="G398" s="3562">
        <v>6.56</v>
      </c>
      <c r="H398" s="3564" t="s">
        <v>3557</v>
      </c>
    </row>
    <row r="399" spans="1:8" s="3558" customFormat="1" ht="12">
      <c r="A399" s="3561">
        <v>215</v>
      </c>
      <c r="B399" s="4005"/>
      <c r="C399" s="4005"/>
      <c r="D399" s="3898"/>
      <c r="E399" s="3565" t="s">
        <v>3946</v>
      </c>
      <c r="F399" s="3562">
        <v>40.43</v>
      </c>
      <c r="G399" s="3562">
        <v>6.56</v>
      </c>
      <c r="H399" s="3564" t="s">
        <v>3557</v>
      </c>
    </row>
    <row r="400" spans="1:8" s="3558" customFormat="1" ht="12">
      <c r="A400" s="3561">
        <v>216</v>
      </c>
      <c r="B400" s="4005"/>
      <c r="C400" s="4005"/>
      <c r="D400" s="3898"/>
      <c r="E400" s="3565" t="s">
        <v>3947</v>
      </c>
      <c r="F400" s="3562">
        <v>40.43</v>
      </c>
      <c r="G400" s="3562">
        <v>6.56</v>
      </c>
      <c r="H400" s="3564" t="s">
        <v>3557</v>
      </c>
    </row>
    <row r="401" spans="1:8" s="3558" customFormat="1" ht="12">
      <c r="A401" s="3561">
        <v>217</v>
      </c>
      <c r="B401" s="4005" t="s">
        <v>3769</v>
      </c>
      <c r="C401" s="4005" t="s">
        <v>3770</v>
      </c>
      <c r="D401" s="3898" t="s">
        <v>3771</v>
      </c>
      <c r="E401" s="3565" t="s">
        <v>3948</v>
      </c>
      <c r="F401" s="3562">
        <v>40.43</v>
      </c>
      <c r="G401" s="3562">
        <v>6.56</v>
      </c>
      <c r="H401" s="3564" t="s">
        <v>3557</v>
      </c>
    </row>
    <row r="402" spans="1:8" s="3558" customFormat="1" ht="12">
      <c r="A402" s="3561">
        <v>218</v>
      </c>
      <c r="B402" s="4005"/>
      <c r="C402" s="4005"/>
      <c r="D402" s="3898"/>
      <c r="E402" s="3565" t="s">
        <v>3949</v>
      </c>
      <c r="F402" s="3562">
        <v>40.43</v>
      </c>
      <c r="G402" s="3562">
        <v>6.56</v>
      </c>
      <c r="H402" s="3564" t="s">
        <v>3557</v>
      </c>
    </row>
    <row r="403" spans="1:8" s="3558" customFormat="1" ht="12">
      <c r="A403" s="3561">
        <v>219</v>
      </c>
      <c r="B403" s="4005"/>
      <c r="C403" s="4005"/>
      <c r="D403" s="3898"/>
      <c r="E403" s="3565" t="s">
        <v>3950</v>
      </c>
      <c r="F403" s="3562">
        <v>40.43</v>
      </c>
      <c r="G403" s="3562">
        <v>6.56</v>
      </c>
      <c r="H403" s="3564" t="s">
        <v>3557</v>
      </c>
    </row>
    <row r="404" spans="1:8" s="3558" customFormat="1" ht="12">
      <c r="A404" s="3561">
        <v>220</v>
      </c>
      <c r="B404" s="4005"/>
      <c r="C404" s="4005"/>
      <c r="D404" s="3898"/>
      <c r="E404" s="3565" t="s">
        <v>3951</v>
      </c>
      <c r="F404" s="3562">
        <v>40.43</v>
      </c>
      <c r="G404" s="3562">
        <v>6.56</v>
      </c>
      <c r="H404" s="3564" t="s">
        <v>3557</v>
      </c>
    </row>
    <row r="405" spans="1:8" s="3558" customFormat="1" ht="12">
      <c r="A405" s="3561">
        <v>221</v>
      </c>
      <c r="B405" s="4005"/>
      <c r="C405" s="4005"/>
      <c r="D405" s="3898"/>
      <c r="E405" s="3565" t="s">
        <v>3952</v>
      </c>
      <c r="F405" s="3562">
        <v>40.43</v>
      </c>
      <c r="G405" s="3562">
        <v>6.56</v>
      </c>
      <c r="H405" s="3564" t="s">
        <v>3557</v>
      </c>
    </row>
    <row r="406" spans="1:8" s="3558" customFormat="1" ht="12">
      <c r="A406" s="3561">
        <v>222</v>
      </c>
      <c r="B406" s="4005"/>
      <c r="C406" s="4005"/>
      <c r="D406" s="3898"/>
      <c r="E406" s="3565" t="s">
        <v>3953</v>
      </c>
      <c r="F406" s="3562">
        <v>40.43</v>
      </c>
      <c r="G406" s="3562">
        <v>6.56</v>
      </c>
      <c r="H406" s="3564" t="s">
        <v>3557</v>
      </c>
    </row>
    <row r="407" spans="1:8" s="3558" customFormat="1" ht="12">
      <c r="A407" s="3561">
        <v>223</v>
      </c>
      <c r="B407" s="4005"/>
      <c r="C407" s="4005"/>
      <c r="D407" s="3898"/>
      <c r="E407" s="3565" t="s">
        <v>3954</v>
      </c>
      <c r="F407" s="3562">
        <v>40.43</v>
      </c>
      <c r="G407" s="3562">
        <v>6.56</v>
      </c>
      <c r="H407" s="3564" t="s">
        <v>3557</v>
      </c>
    </row>
    <row r="408" spans="1:8" s="3558" customFormat="1" ht="12">
      <c r="A408" s="3561">
        <v>224</v>
      </c>
      <c r="B408" s="4005"/>
      <c r="C408" s="4005"/>
      <c r="D408" s="3898"/>
      <c r="E408" s="3565" t="s">
        <v>3955</v>
      </c>
      <c r="F408" s="3562">
        <v>40.43</v>
      </c>
      <c r="G408" s="3562">
        <v>6.56</v>
      </c>
      <c r="H408" s="3564" t="s">
        <v>3557</v>
      </c>
    </row>
    <row r="409" spans="1:8" s="3558" customFormat="1" ht="12">
      <c r="A409" s="3561">
        <v>225</v>
      </c>
      <c r="B409" s="4005"/>
      <c r="C409" s="4005"/>
      <c r="D409" s="3898"/>
      <c r="E409" s="3565" t="s">
        <v>3956</v>
      </c>
      <c r="F409" s="3562">
        <v>40.43</v>
      </c>
      <c r="G409" s="3562">
        <v>6.56</v>
      </c>
      <c r="H409" s="3564" t="s">
        <v>3557</v>
      </c>
    </row>
    <row r="410" spans="1:8" s="3558" customFormat="1" ht="12">
      <c r="A410" s="3561">
        <v>226</v>
      </c>
      <c r="B410" s="4005"/>
      <c r="C410" s="4005"/>
      <c r="D410" s="3898"/>
      <c r="E410" s="3565" t="s">
        <v>3957</v>
      </c>
      <c r="F410" s="3562">
        <v>40.43</v>
      </c>
      <c r="G410" s="3562">
        <v>6.56</v>
      </c>
      <c r="H410" s="3564" t="s">
        <v>3557</v>
      </c>
    </row>
    <row r="411" spans="1:8" s="3558" customFormat="1" ht="12">
      <c r="A411" s="3561">
        <v>227</v>
      </c>
      <c r="B411" s="4005"/>
      <c r="C411" s="4005"/>
      <c r="D411" s="3898"/>
      <c r="E411" s="3565" t="s">
        <v>3958</v>
      </c>
      <c r="F411" s="3562">
        <v>40.43</v>
      </c>
      <c r="G411" s="3562">
        <v>6.56</v>
      </c>
      <c r="H411" s="3564" t="s">
        <v>3557</v>
      </c>
    </row>
    <row r="412" spans="1:8" s="3558" customFormat="1" ht="12">
      <c r="A412" s="3561">
        <v>228</v>
      </c>
      <c r="B412" s="4005"/>
      <c r="C412" s="4005"/>
      <c r="D412" s="3898"/>
      <c r="E412" s="3565" t="s">
        <v>3959</v>
      </c>
      <c r="F412" s="3562">
        <v>40.43</v>
      </c>
      <c r="G412" s="3562">
        <v>6.56</v>
      </c>
      <c r="H412" s="3564" t="s">
        <v>3557</v>
      </c>
    </row>
    <row r="413" spans="1:8" s="3558" customFormat="1" ht="12">
      <c r="A413" s="3561">
        <v>229</v>
      </c>
      <c r="B413" s="4005"/>
      <c r="C413" s="4005"/>
      <c r="D413" s="3898"/>
      <c r="E413" s="3565" t="s">
        <v>3960</v>
      </c>
      <c r="F413" s="3562">
        <v>40.43</v>
      </c>
      <c r="G413" s="3562">
        <v>6.56</v>
      </c>
      <c r="H413" s="3564" t="s">
        <v>3557</v>
      </c>
    </row>
    <row r="414" spans="1:8" s="3558" customFormat="1" ht="12">
      <c r="A414" s="3561">
        <v>230</v>
      </c>
      <c r="B414" s="4005"/>
      <c r="C414" s="4005"/>
      <c r="D414" s="3898"/>
      <c r="E414" s="3565" t="s">
        <v>3961</v>
      </c>
      <c r="F414" s="3562">
        <v>40.43</v>
      </c>
      <c r="G414" s="3562">
        <v>6.56</v>
      </c>
      <c r="H414" s="3564" t="s">
        <v>3557</v>
      </c>
    </row>
    <row r="415" spans="1:8" s="3558" customFormat="1" ht="12">
      <c r="A415" s="3561">
        <v>231</v>
      </c>
      <c r="B415" s="4005"/>
      <c r="C415" s="4005"/>
      <c r="D415" s="3898"/>
      <c r="E415" s="3565" t="s">
        <v>3962</v>
      </c>
      <c r="F415" s="3562">
        <v>40.43</v>
      </c>
      <c r="G415" s="3562">
        <v>6.56</v>
      </c>
      <c r="H415" s="3564" t="s">
        <v>3557</v>
      </c>
    </row>
    <row r="416" spans="1:8" s="3558" customFormat="1" ht="12">
      <c r="A416" s="3561">
        <v>232</v>
      </c>
      <c r="B416" s="4005"/>
      <c r="C416" s="4005"/>
      <c r="D416" s="3898"/>
      <c r="E416" s="3565" t="s">
        <v>3963</v>
      </c>
      <c r="F416" s="3562">
        <v>40.43</v>
      </c>
      <c r="G416" s="3562">
        <v>6.56</v>
      </c>
      <c r="H416" s="3564" t="s">
        <v>3557</v>
      </c>
    </row>
    <row r="417" spans="1:8" s="3558" customFormat="1" ht="12">
      <c r="A417" s="3561">
        <v>233</v>
      </c>
      <c r="B417" s="4005"/>
      <c r="C417" s="4005"/>
      <c r="D417" s="3898"/>
      <c r="E417" s="3565" t="s">
        <v>3964</v>
      </c>
      <c r="F417" s="3562">
        <v>40.43</v>
      </c>
      <c r="G417" s="3562">
        <v>6.56</v>
      </c>
      <c r="H417" s="3564" t="s">
        <v>3557</v>
      </c>
    </row>
    <row r="418" spans="1:8" s="3558" customFormat="1" ht="12">
      <c r="A418" s="3561">
        <v>234</v>
      </c>
      <c r="B418" s="4005"/>
      <c r="C418" s="4005"/>
      <c r="D418" s="3898"/>
      <c r="E418" s="3565" t="s">
        <v>3965</v>
      </c>
      <c r="F418" s="3562">
        <v>40.43</v>
      </c>
      <c r="G418" s="3562">
        <v>6.56</v>
      </c>
      <c r="H418" s="3564" t="s">
        <v>3557</v>
      </c>
    </row>
    <row r="419" spans="1:8" s="3558" customFormat="1" ht="12">
      <c r="A419" s="3561">
        <v>235</v>
      </c>
      <c r="B419" s="4005"/>
      <c r="C419" s="4005"/>
      <c r="D419" s="3898"/>
      <c r="E419" s="3565" t="s">
        <v>3966</v>
      </c>
      <c r="F419" s="3562">
        <v>40.43</v>
      </c>
      <c r="G419" s="3562">
        <v>6.56</v>
      </c>
      <c r="H419" s="3564" t="s">
        <v>3557</v>
      </c>
    </row>
    <row r="420" spans="1:8" s="3558" customFormat="1" ht="12">
      <c r="A420" s="3561">
        <v>236</v>
      </c>
      <c r="B420" s="4005"/>
      <c r="C420" s="4005"/>
      <c r="D420" s="3898"/>
      <c r="E420" s="3565" t="s">
        <v>3967</v>
      </c>
      <c r="F420" s="3562">
        <v>40.43</v>
      </c>
      <c r="G420" s="3562">
        <v>6.56</v>
      </c>
      <c r="H420" s="3564" t="s">
        <v>3557</v>
      </c>
    </row>
    <row r="421" spans="1:8" s="3558" customFormat="1" ht="12">
      <c r="A421" s="3561">
        <v>237</v>
      </c>
      <c r="B421" s="4005"/>
      <c r="C421" s="4005"/>
      <c r="D421" s="3898"/>
      <c r="E421" s="3565" t="s">
        <v>3968</v>
      </c>
      <c r="F421" s="3562">
        <v>40.43</v>
      </c>
      <c r="G421" s="3562">
        <v>6.56</v>
      </c>
      <c r="H421" s="3564" t="s">
        <v>3557</v>
      </c>
    </row>
    <row r="422" spans="1:8" s="3558" customFormat="1" ht="12">
      <c r="A422" s="3561">
        <v>238</v>
      </c>
      <c r="B422" s="4005"/>
      <c r="C422" s="4005"/>
      <c r="D422" s="3898"/>
      <c r="E422" s="3565" t="s">
        <v>3969</v>
      </c>
      <c r="F422" s="3562">
        <v>40.43</v>
      </c>
      <c r="G422" s="3562">
        <v>6.56</v>
      </c>
      <c r="H422" s="3564" t="s">
        <v>3557</v>
      </c>
    </row>
    <row r="423" spans="1:8" s="3558" customFormat="1" ht="12">
      <c r="A423" s="3561">
        <v>239</v>
      </c>
      <c r="B423" s="4005"/>
      <c r="C423" s="4005"/>
      <c r="D423" s="3898"/>
      <c r="E423" s="3565" t="s">
        <v>3970</v>
      </c>
      <c r="F423" s="3562">
        <v>40.43</v>
      </c>
      <c r="G423" s="3562">
        <v>6.56</v>
      </c>
      <c r="H423" s="3564" t="s">
        <v>3557</v>
      </c>
    </row>
    <row r="424" spans="1:8" s="3558" customFormat="1" ht="12">
      <c r="A424" s="3561">
        <v>240</v>
      </c>
      <c r="B424" s="4005"/>
      <c r="C424" s="4005"/>
      <c r="D424" s="3898"/>
      <c r="E424" s="3565" t="s">
        <v>3971</v>
      </c>
      <c r="F424" s="3562">
        <v>40.43</v>
      </c>
      <c r="G424" s="3562">
        <v>6.56</v>
      </c>
      <c r="H424" s="3564" t="s">
        <v>3557</v>
      </c>
    </row>
    <row r="425" spans="1:8" s="3558" customFormat="1" ht="12">
      <c r="A425" s="3561">
        <v>241</v>
      </c>
      <c r="B425" s="4005"/>
      <c r="C425" s="4005"/>
      <c r="D425" s="3898"/>
      <c r="E425" s="3565" t="s">
        <v>3972</v>
      </c>
      <c r="F425" s="3562">
        <v>40.43</v>
      </c>
      <c r="G425" s="3562">
        <v>6.56</v>
      </c>
      <c r="H425" s="3564" t="s">
        <v>3557</v>
      </c>
    </row>
    <row r="426" spans="1:8" s="3558" customFormat="1" ht="12">
      <c r="A426" s="3561">
        <v>242</v>
      </c>
      <c r="B426" s="4005"/>
      <c r="C426" s="4005"/>
      <c r="D426" s="3898"/>
      <c r="E426" s="3565" t="s">
        <v>3973</v>
      </c>
      <c r="F426" s="3562">
        <v>40.43</v>
      </c>
      <c r="G426" s="3562">
        <v>6.56</v>
      </c>
      <c r="H426" s="3564" t="s">
        <v>3557</v>
      </c>
    </row>
    <row r="427" spans="1:8" s="3558" customFormat="1" ht="12">
      <c r="A427" s="3561">
        <v>243</v>
      </c>
      <c r="B427" s="4005"/>
      <c r="C427" s="4005"/>
      <c r="D427" s="3898"/>
      <c r="E427" s="3565" t="s">
        <v>3974</v>
      </c>
      <c r="F427" s="3562">
        <v>40.43</v>
      </c>
      <c r="G427" s="3562">
        <v>6.56</v>
      </c>
      <c r="H427" s="3564" t="s">
        <v>3557</v>
      </c>
    </row>
    <row r="428" spans="1:8" s="3558" customFormat="1" ht="12">
      <c r="A428" s="3561">
        <v>244</v>
      </c>
      <c r="B428" s="4005"/>
      <c r="C428" s="4005"/>
      <c r="D428" s="3898"/>
      <c r="E428" s="3565" t="s">
        <v>3975</v>
      </c>
      <c r="F428" s="3562">
        <v>40.43</v>
      </c>
      <c r="G428" s="3562">
        <v>6.56</v>
      </c>
      <c r="H428" s="3564" t="s">
        <v>3557</v>
      </c>
    </row>
    <row r="429" spans="1:8" s="3558" customFormat="1" ht="12">
      <c r="A429" s="3561">
        <v>245</v>
      </c>
      <c r="B429" s="4005"/>
      <c r="C429" s="4005"/>
      <c r="D429" s="3898"/>
      <c r="E429" s="3565" t="s">
        <v>3976</v>
      </c>
      <c r="F429" s="3562">
        <v>40.43</v>
      </c>
      <c r="G429" s="3562">
        <v>6.56</v>
      </c>
      <c r="H429" s="3564" t="s">
        <v>3557</v>
      </c>
    </row>
    <row r="430" spans="1:8" s="3558" customFormat="1" ht="12">
      <c r="A430" s="3561">
        <v>246</v>
      </c>
      <c r="B430" s="4005"/>
      <c r="C430" s="4005"/>
      <c r="D430" s="3898"/>
      <c r="E430" s="3565" t="s">
        <v>3977</v>
      </c>
      <c r="F430" s="3562">
        <v>40.43</v>
      </c>
      <c r="G430" s="3562">
        <v>6.56</v>
      </c>
      <c r="H430" s="3564" t="s">
        <v>3557</v>
      </c>
    </row>
    <row r="431" spans="1:8" s="3558" customFormat="1" ht="12">
      <c r="A431" s="3561">
        <v>247</v>
      </c>
      <c r="B431" s="4005"/>
      <c r="C431" s="4005"/>
      <c r="D431" s="3898"/>
      <c r="E431" s="3565" t="s">
        <v>3978</v>
      </c>
      <c r="F431" s="3562">
        <v>40.43</v>
      </c>
      <c r="G431" s="3562">
        <v>6.56</v>
      </c>
      <c r="H431" s="3564" t="s">
        <v>3557</v>
      </c>
    </row>
    <row r="432" spans="1:8" s="3558" customFormat="1" ht="12">
      <c r="A432" s="3561">
        <v>248</v>
      </c>
      <c r="B432" s="4005"/>
      <c r="C432" s="4005"/>
      <c r="D432" s="3898"/>
      <c r="E432" s="3565" t="s">
        <v>3979</v>
      </c>
      <c r="F432" s="3562">
        <v>40.43</v>
      </c>
      <c r="G432" s="3562">
        <v>6.56</v>
      </c>
      <c r="H432" s="3564" t="s">
        <v>3557</v>
      </c>
    </row>
    <row r="433" spans="1:8" s="3558" customFormat="1" ht="12">
      <c r="A433" s="3561">
        <v>249</v>
      </c>
      <c r="B433" s="4005"/>
      <c r="C433" s="4005"/>
      <c r="D433" s="3898"/>
      <c r="E433" s="3565" t="s">
        <v>3980</v>
      </c>
      <c r="F433" s="3562">
        <v>40.43</v>
      </c>
      <c r="G433" s="3562">
        <v>6.56</v>
      </c>
      <c r="H433" s="3564" t="s">
        <v>3557</v>
      </c>
    </row>
    <row r="434" spans="1:8" s="3558" customFormat="1" ht="12">
      <c r="A434" s="3561">
        <v>250</v>
      </c>
      <c r="B434" s="4005"/>
      <c r="C434" s="4005"/>
      <c r="D434" s="3898"/>
      <c r="E434" s="3565" t="s">
        <v>3981</v>
      </c>
      <c r="F434" s="3562">
        <v>40.43</v>
      </c>
      <c r="G434" s="3562">
        <v>6.56</v>
      </c>
      <c r="H434" s="3564" t="s">
        <v>3557</v>
      </c>
    </row>
    <row r="435" spans="1:8" s="3558" customFormat="1" ht="12">
      <c r="A435" s="3561">
        <v>251</v>
      </c>
      <c r="B435" s="4005"/>
      <c r="C435" s="4005"/>
      <c r="D435" s="3898"/>
      <c r="E435" s="3565" t="s">
        <v>3982</v>
      </c>
      <c r="F435" s="3562">
        <v>40.43</v>
      </c>
      <c r="G435" s="3562">
        <v>6.56</v>
      </c>
      <c r="H435" s="3564" t="s">
        <v>3557</v>
      </c>
    </row>
    <row r="436" spans="1:8" s="3558" customFormat="1" ht="12">
      <c r="A436" s="3561">
        <v>252</v>
      </c>
      <c r="B436" s="4005"/>
      <c r="C436" s="4005"/>
      <c r="D436" s="3898"/>
      <c r="E436" s="3565" t="s">
        <v>3983</v>
      </c>
      <c r="F436" s="3562">
        <v>40.43</v>
      </c>
      <c r="G436" s="3562">
        <v>6.56</v>
      </c>
      <c r="H436" s="3564" t="s">
        <v>3557</v>
      </c>
    </row>
    <row r="437" spans="1:8" s="3558" customFormat="1" ht="12">
      <c r="A437" s="3561">
        <v>253</v>
      </c>
      <c r="B437" s="4005"/>
      <c r="C437" s="4005"/>
      <c r="D437" s="3898"/>
      <c r="E437" s="3565" t="s">
        <v>3984</v>
      </c>
      <c r="F437" s="3562">
        <v>40.43</v>
      </c>
      <c r="G437" s="3562">
        <v>6.56</v>
      </c>
      <c r="H437" s="3564" t="s">
        <v>3557</v>
      </c>
    </row>
    <row r="438" spans="1:8" s="3558" customFormat="1" ht="12">
      <c r="A438" s="3561">
        <v>254</v>
      </c>
      <c r="B438" s="4005" t="s">
        <v>3769</v>
      </c>
      <c r="C438" s="4005" t="s">
        <v>3770</v>
      </c>
      <c r="D438" s="3898" t="s">
        <v>3771</v>
      </c>
      <c r="E438" s="3565" t="s">
        <v>3985</v>
      </c>
      <c r="F438" s="3562">
        <v>40.43</v>
      </c>
      <c r="G438" s="3562">
        <v>6.56</v>
      </c>
      <c r="H438" s="3564" t="s">
        <v>3557</v>
      </c>
    </row>
    <row r="439" spans="1:8" s="3558" customFormat="1" ht="12">
      <c r="A439" s="3561">
        <v>255</v>
      </c>
      <c r="B439" s="4005"/>
      <c r="C439" s="4005"/>
      <c r="D439" s="3898"/>
      <c r="E439" s="3565" t="s">
        <v>3986</v>
      </c>
      <c r="F439" s="3562">
        <v>40.43</v>
      </c>
      <c r="G439" s="3562">
        <v>6.56</v>
      </c>
      <c r="H439" s="3564" t="s">
        <v>3557</v>
      </c>
    </row>
    <row r="440" spans="1:8" s="3558" customFormat="1" ht="12">
      <c r="A440" s="3561">
        <v>256</v>
      </c>
      <c r="B440" s="4005"/>
      <c r="C440" s="4005"/>
      <c r="D440" s="3898"/>
      <c r="E440" s="3565" t="s">
        <v>3987</v>
      </c>
      <c r="F440" s="3562">
        <v>40.43</v>
      </c>
      <c r="G440" s="3562">
        <v>6.56</v>
      </c>
      <c r="H440" s="3564" t="s">
        <v>3557</v>
      </c>
    </row>
    <row r="441" spans="1:8" s="3558" customFormat="1" ht="12">
      <c r="A441" s="3561">
        <v>257</v>
      </c>
      <c r="B441" s="4005"/>
      <c r="C441" s="4005"/>
      <c r="D441" s="3898"/>
      <c r="E441" s="3565" t="s">
        <v>3988</v>
      </c>
      <c r="F441" s="3562">
        <v>40.43</v>
      </c>
      <c r="G441" s="3562">
        <v>6.56</v>
      </c>
      <c r="H441" s="3564" t="s">
        <v>3557</v>
      </c>
    </row>
    <row r="442" spans="1:8" s="3558" customFormat="1" ht="12">
      <c r="A442" s="3561">
        <v>258</v>
      </c>
      <c r="B442" s="4005"/>
      <c r="C442" s="4005"/>
      <c r="D442" s="3898"/>
      <c r="E442" s="3565" t="s">
        <v>3989</v>
      </c>
      <c r="F442" s="3562">
        <v>40.43</v>
      </c>
      <c r="G442" s="3562">
        <v>6.56</v>
      </c>
      <c r="H442" s="3564" t="s">
        <v>3557</v>
      </c>
    </row>
    <row r="443" spans="1:8" s="3558" customFormat="1" ht="12">
      <c r="A443" s="3561">
        <v>259</v>
      </c>
      <c r="B443" s="4005"/>
      <c r="C443" s="4005"/>
      <c r="D443" s="3898"/>
      <c r="E443" s="3565" t="s">
        <v>3990</v>
      </c>
      <c r="F443" s="3562">
        <v>40.43</v>
      </c>
      <c r="G443" s="3562">
        <v>6.56</v>
      </c>
      <c r="H443" s="3564" t="s">
        <v>3557</v>
      </c>
    </row>
    <row r="444" spans="1:8" s="3558" customFormat="1" ht="12">
      <c r="A444" s="3561">
        <v>260</v>
      </c>
      <c r="B444" s="4005"/>
      <c r="C444" s="4005"/>
      <c r="D444" s="3898"/>
      <c r="E444" s="3565" t="s">
        <v>3991</v>
      </c>
      <c r="F444" s="3562">
        <v>40.43</v>
      </c>
      <c r="G444" s="3562">
        <v>6.56</v>
      </c>
      <c r="H444" s="3564" t="s">
        <v>3557</v>
      </c>
    </row>
    <row r="445" spans="1:8" s="3558" customFormat="1" ht="12">
      <c r="A445" s="3561">
        <v>261</v>
      </c>
      <c r="B445" s="4005"/>
      <c r="C445" s="4005"/>
      <c r="D445" s="3898"/>
      <c r="E445" s="3565" t="s">
        <v>3992</v>
      </c>
      <c r="F445" s="3562">
        <v>40.43</v>
      </c>
      <c r="G445" s="3562">
        <v>6.56</v>
      </c>
      <c r="H445" s="3564" t="s">
        <v>3557</v>
      </c>
    </row>
    <row r="446" spans="1:8" s="3558" customFormat="1" ht="12">
      <c r="A446" s="3561">
        <v>262</v>
      </c>
      <c r="B446" s="4005"/>
      <c r="C446" s="4005"/>
      <c r="D446" s="3898"/>
      <c r="E446" s="3565" t="s">
        <v>3993</v>
      </c>
      <c r="F446" s="3562">
        <v>40.43</v>
      </c>
      <c r="G446" s="3562">
        <v>6.56</v>
      </c>
      <c r="H446" s="3564" t="s">
        <v>3557</v>
      </c>
    </row>
    <row r="447" spans="1:8" s="3558" customFormat="1" ht="12">
      <c r="A447" s="3561">
        <v>263</v>
      </c>
      <c r="B447" s="4005"/>
      <c r="C447" s="4005"/>
      <c r="D447" s="3898"/>
      <c r="E447" s="3565" t="s">
        <v>3994</v>
      </c>
      <c r="F447" s="3562">
        <v>40.43</v>
      </c>
      <c r="G447" s="3562">
        <v>6.56</v>
      </c>
      <c r="H447" s="3564" t="s">
        <v>3557</v>
      </c>
    </row>
    <row r="448" spans="1:8" s="3558" customFormat="1" ht="12">
      <c r="A448" s="3561">
        <v>264</v>
      </c>
      <c r="B448" s="4005"/>
      <c r="C448" s="4005"/>
      <c r="D448" s="3898"/>
      <c r="E448" s="3565" t="s">
        <v>3995</v>
      </c>
      <c r="F448" s="3562">
        <v>40.43</v>
      </c>
      <c r="G448" s="3562">
        <v>6.56</v>
      </c>
      <c r="H448" s="3564" t="s">
        <v>3557</v>
      </c>
    </row>
    <row r="449" spans="1:8" s="3558" customFormat="1" ht="12">
      <c r="A449" s="3561">
        <v>265</v>
      </c>
      <c r="B449" s="4005"/>
      <c r="C449" s="4005"/>
      <c r="D449" s="3898"/>
      <c r="E449" s="3565" t="s">
        <v>3996</v>
      </c>
      <c r="F449" s="3562">
        <v>40.43</v>
      </c>
      <c r="G449" s="3562">
        <v>6.56</v>
      </c>
      <c r="H449" s="3564" t="s">
        <v>3557</v>
      </c>
    </row>
    <row r="450" spans="1:8" s="3558" customFormat="1" ht="12">
      <c r="A450" s="3561">
        <v>266</v>
      </c>
      <c r="B450" s="4005"/>
      <c r="C450" s="4005"/>
      <c r="D450" s="3898"/>
      <c r="E450" s="3565" t="s">
        <v>3997</v>
      </c>
      <c r="F450" s="3562">
        <v>40.43</v>
      </c>
      <c r="G450" s="3562">
        <v>6.56</v>
      </c>
      <c r="H450" s="3564" t="s">
        <v>3557</v>
      </c>
    </row>
    <row r="451" spans="1:8" s="3558" customFormat="1" ht="12">
      <c r="A451" s="3561">
        <v>267</v>
      </c>
      <c r="B451" s="4005"/>
      <c r="C451" s="4005"/>
      <c r="D451" s="3898"/>
      <c r="E451" s="3565" t="s">
        <v>3998</v>
      </c>
      <c r="F451" s="3562">
        <v>40.43</v>
      </c>
      <c r="G451" s="3562">
        <v>6.56</v>
      </c>
      <c r="H451" s="3564" t="s">
        <v>3557</v>
      </c>
    </row>
    <row r="452" spans="1:8" s="3558" customFormat="1" ht="12">
      <c r="A452" s="3561">
        <v>268</v>
      </c>
      <c r="B452" s="4005"/>
      <c r="C452" s="4005"/>
      <c r="D452" s="3898"/>
      <c r="E452" s="3565" t="s">
        <v>3999</v>
      </c>
      <c r="F452" s="3562">
        <v>40.43</v>
      </c>
      <c r="G452" s="3562">
        <v>6.56</v>
      </c>
      <c r="H452" s="3564" t="s">
        <v>3557</v>
      </c>
    </row>
    <row r="453" spans="1:8" s="3558" customFormat="1" ht="12">
      <c r="A453" s="3561">
        <v>269</v>
      </c>
      <c r="B453" s="4005"/>
      <c r="C453" s="4005"/>
      <c r="D453" s="3898"/>
      <c r="E453" s="3565" t="s">
        <v>4000</v>
      </c>
      <c r="F453" s="3562">
        <v>40.43</v>
      </c>
      <c r="G453" s="3562">
        <v>6.56</v>
      </c>
      <c r="H453" s="3564" t="s">
        <v>3557</v>
      </c>
    </row>
    <row r="454" spans="1:8" s="3558" customFormat="1" ht="12">
      <c r="A454" s="3561">
        <v>270</v>
      </c>
      <c r="B454" s="4005"/>
      <c r="C454" s="4005"/>
      <c r="D454" s="3898"/>
      <c r="E454" s="3565" t="s">
        <v>4001</v>
      </c>
      <c r="F454" s="3562">
        <v>40.43</v>
      </c>
      <c r="G454" s="3562">
        <v>6.56</v>
      </c>
      <c r="H454" s="3564" t="s">
        <v>3557</v>
      </c>
    </row>
    <row r="455" spans="1:8" s="3558" customFormat="1" ht="12">
      <c r="A455" s="3561">
        <v>271</v>
      </c>
      <c r="B455" s="4005"/>
      <c r="C455" s="4005"/>
      <c r="D455" s="3898"/>
      <c r="E455" s="3565" t="s">
        <v>4002</v>
      </c>
      <c r="F455" s="3562">
        <v>40.43</v>
      </c>
      <c r="G455" s="3562">
        <v>6.56</v>
      </c>
      <c r="H455" s="3564" t="s">
        <v>3557</v>
      </c>
    </row>
    <row r="456" spans="1:8" s="3558" customFormat="1" ht="12">
      <c r="A456" s="3561">
        <v>272</v>
      </c>
      <c r="B456" s="4005"/>
      <c r="C456" s="4005"/>
      <c r="D456" s="3898"/>
      <c r="E456" s="3565" t="s">
        <v>4003</v>
      </c>
      <c r="F456" s="3562">
        <v>40.43</v>
      </c>
      <c r="G456" s="3562">
        <v>6.56</v>
      </c>
      <c r="H456" s="3564" t="s">
        <v>3557</v>
      </c>
    </row>
    <row r="457" spans="1:8" s="3558" customFormat="1" ht="12">
      <c r="A457" s="3561">
        <v>273</v>
      </c>
      <c r="B457" s="4005"/>
      <c r="C457" s="4005"/>
      <c r="D457" s="3898"/>
      <c r="E457" s="3565" t="s">
        <v>4004</v>
      </c>
      <c r="F457" s="3562">
        <v>40.43</v>
      </c>
      <c r="G457" s="3562">
        <v>6.56</v>
      </c>
      <c r="H457" s="3564" t="s">
        <v>3557</v>
      </c>
    </row>
    <row r="458" spans="1:8" s="3558" customFormat="1" ht="12">
      <c r="A458" s="3561">
        <v>274</v>
      </c>
      <c r="B458" s="4005"/>
      <c r="C458" s="4005"/>
      <c r="D458" s="3898"/>
      <c r="E458" s="3565" t="s">
        <v>4005</v>
      </c>
      <c r="F458" s="3562">
        <v>40.43</v>
      </c>
      <c r="G458" s="3562">
        <v>6.56</v>
      </c>
      <c r="H458" s="3564" t="s">
        <v>3557</v>
      </c>
    </row>
    <row r="459" spans="1:8" s="3558" customFormat="1" ht="12">
      <c r="A459" s="3561">
        <v>275</v>
      </c>
      <c r="B459" s="4005"/>
      <c r="C459" s="4005"/>
      <c r="D459" s="3898"/>
      <c r="E459" s="3565" t="s">
        <v>4006</v>
      </c>
      <c r="F459" s="3562">
        <v>40.43</v>
      </c>
      <c r="G459" s="3562">
        <v>6.56</v>
      </c>
      <c r="H459" s="3564" t="s">
        <v>3557</v>
      </c>
    </row>
    <row r="460" spans="1:8" s="3558" customFormat="1" ht="12">
      <c r="A460" s="3561">
        <v>276</v>
      </c>
      <c r="B460" s="4005"/>
      <c r="C460" s="4005"/>
      <c r="D460" s="3898"/>
      <c r="E460" s="3565" t="s">
        <v>4007</v>
      </c>
      <c r="F460" s="3562">
        <v>40.43</v>
      </c>
      <c r="G460" s="3562">
        <v>6.56</v>
      </c>
      <c r="H460" s="3564" t="s">
        <v>3557</v>
      </c>
    </row>
    <row r="461" spans="1:8" s="3558" customFormat="1" ht="12">
      <c r="A461" s="3561">
        <v>277</v>
      </c>
      <c r="B461" s="4005"/>
      <c r="C461" s="4005"/>
      <c r="D461" s="3898"/>
      <c r="E461" s="3565" t="s">
        <v>4008</v>
      </c>
      <c r="F461" s="3562">
        <v>40.43</v>
      </c>
      <c r="G461" s="3562">
        <v>6.56</v>
      </c>
      <c r="H461" s="3564" t="s">
        <v>3557</v>
      </c>
    </row>
    <row r="462" spans="1:8" s="3558" customFormat="1" ht="12">
      <c r="A462" s="3561">
        <v>278</v>
      </c>
      <c r="B462" s="4005"/>
      <c r="C462" s="4005"/>
      <c r="D462" s="3898"/>
      <c r="E462" s="3565" t="s">
        <v>4009</v>
      </c>
      <c r="F462" s="3562">
        <v>40.43</v>
      </c>
      <c r="G462" s="3562">
        <v>6.56</v>
      </c>
      <c r="H462" s="3564" t="s">
        <v>3557</v>
      </c>
    </row>
    <row r="463" spans="1:8" s="3558" customFormat="1" ht="12">
      <c r="A463" s="3561">
        <v>279</v>
      </c>
      <c r="B463" s="4005"/>
      <c r="C463" s="4005"/>
      <c r="D463" s="3898"/>
      <c r="E463" s="3565" t="s">
        <v>4010</v>
      </c>
      <c r="F463" s="3562">
        <v>40.43</v>
      </c>
      <c r="G463" s="3562">
        <v>6.56</v>
      </c>
      <c r="H463" s="3564" t="s">
        <v>3557</v>
      </c>
    </row>
    <row r="464" spans="1:8" s="3558" customFormat="1" ht="12">
      <c r="A464" s="3561">
        <v>280</v>
      </c>
      <c r="B464" s="4005"/>
      <c r="C464" s="4005"/>
      <c r="D464" s="3898"/>
      <c r="E464" s="3565" t="s">
        <v>4011</v>
      </c>
      <c r="F464" s="3562">
        <v>40.43</v>
      </c>
      <c r="G464" s="3562">
        <v>6.56</v>
      </c>
      <c r="H464" s="3564" t="s">
        <v>3557</v>
      </c>
    </row>
    <row r="465" spans="1:8" s="3558" customFormat="1" ht="12">
      <c r="A465" s="3561">
        <v>281</v>
      </c>
      <c r="B465" s="4005"/>
      <c r="C465" s="4005"/>
      <c r="D465" s="3898"/>
      <c r="E465" s="3565" t="s">
        <v>4012</v>
      </c>
      <c r="F465" s="3562">
        <v>40.43</v>
      </c>
      <c r="G465" s="3562">
        <v>6.56</v>
      </c>
      <c r="H465" s="3564" t="s">
        <v>3557</v>
      </c>
    </row>
    <row r="466" spans="1:8" s="3558" customFormat="1" ht="12">
      <c r="A466" s="3561">
        <v>282</v>
      </c>
      <c r="B466" s="4005"/>
      <c r="C466" s="4005"/>
      <c r="D466" s="3898"/>
      <c r="E466" s="3565" t="s">
        <v>4013</v>
      </c>
      <c r="F466" s="3562">
        <v>40.43</v>
      </c>
      <c r="G466" s="3562">
        <v>6.56</v>
      </c>
      <c r="H466" s="3564" t="s">
        <v>3557</v>
      </c>
    </row>
    <row r="467" spans="1:8" s="3558" customFormat="1" ht="12">
      <c r="A467" s="3561">
        <v>283</v>
      </c>
      <c r="B467" s="4005"/>
      <c r="C467" s="4005"/>
      <c r="D467" s="3898"/>
      <c r="E467" s="3565" t="s">
        <v>4014</v>
      </c>
      <c r="F467" s="3562">
        <v>40.43</v>
      </c>
      <c r="G467" s="3562">
        <v>6.56</v>
      </c>
      <c r="H467" s="3564" t="s">
        <v>3557</v>
      </c>
    </row>
    <row r="468" spans="1:8" s="3558" customFormat="1" ht="12">
      <c r="A468" s="3561">
        <v>284</v>
      </c>
      <c r="B468" s="4005"/>
      <c r="C468" s="4005"/>
      <c r="D468" s="3898"/>
      <c r="E468" s="3565" t="s">
        <v>4015</v>
      </c>
      <c r="F468" s="3562">
        <v>40.43</v>
      </c>
      <c r="G468" s="3562">
        <v>6.56</v>
      </c>
      <c r="H468" s="3564" t="s">
        <v>3557</v>
      </c>
    </row>
    <row r="469" spans="1:8" s="3558" customFormat="1" ht="12">
      <c r="A469" s="3561">
        <v>285</v>
      </c>
      <c r="B469" s="4005"/>
      <c r="C469" s="4005"/>
      <c r="D469" s="3898"/>
      <c r="E469" s="3565" t="s">
        <v>4016</v>
      </c>
      <c r="F469" s="3562">
        <v>40.43</v>
      </c>
      <c r="G469" s="3562">
        <v>6.56</v>
      </c>
      <c r="H469" s="3564" t="s">
        <v>3557</v>
      </c>
    </row>
    <row r="470" spans="1:8" s="3558" customFormat="1" ht="12">
      <c r="A470" s="3561">
        <v>286</v>
      </c>
      <c r="B470" s="4005"/>
      <c r="C470" s="4005"/>
      <c r="D470" s="3898"/>
      <c r="E470" s="3565" t="s">
        <v>4017</v>
      </c>
      <c r="F470" s="3562">
        <v>40.43</v>
      </c>
      <c r="G470" s="3562">
        <v>6.56</v>
      </c>
      <c r="H470" s="3564" t="s">
        <v>3557</v>
      </c>
    </row>
    <row r="471" spans="1:8" s="3558" customFormat="1" ht="12">
      <c r="A471" s="3561">
        <v>287</v>
      </c>
      <c r="B471" s="4005"/>
      <c r="C471" s="4005"/>
      <c r="D471" s="3898"/>
      <c r="E471" s="3565" t="s">
        <v>4018</v>
      </c>
      <c r="F471" s="3562">
        <v>40.43</v>
      </c>
      <c r="G471" s="3562">
        <v>6.56</v>
      </c>
      <c r="H471" s="3564" t="s">
        <v>3557</v>
      </c>
    </row>
    <row r="472" spans="1:8" s="3558" customFormat="1" ht="12">
      <c r="A472" s="3561">
        <v>288</v>
      </c>
      <c r="B472" s="4005"/>
      <c r="C472" s="4005"/>
      <c r="D472" s="3898"/>
      <c r="E472" s="3565" t="s">
        <v>4019</v>
      </c>
      <c r="F472" s="3562">
        <v>40.43</v>
      </c>
      <c r="G472" s="3562">
        <v>6.56</v>
      </c>
      <c r="H472" s="3564" t="s">
        <v>3557</v>
      </c>
    </row>
    <row r="473" spans="1:8" s="3558" customFormat="1" ht="12">
      <c r="A473" s="3561">
        <v>289</v>
      </c>
      <c r="B473" s="4005"/>
      <c r="C473" s="4005"/>
      <c r="D473" s="3898"/>
      <c r="E473" s="3565" t="s">
        <v>4020</v>
      </c>
      <c r="F473" s="3562">
        <v>40.43</v>
      </c>
      <c r="G473" s="3562">
        <v>6.56</v>
      </c>
      <c r="H473" s="3564" t="s">
        <v>3557</v>
      </c>
    </row>
    <row r="474" spans="1:8" s="3558" customFormat="1" ht="12">
      <c r="A474" s="3561">
        <v>290</v>
      </c>
      <c r="B474" s="4005"/>
      <c r="C474" s="4005"/>
      <c r="D474" s="3898"/>
      <c r="E474" s="3565" t="s">
        <v>4021</v>
      </c>
      <c r="F474" s="3562">
        <v>40.43</v>
      </c>
      <c r="G474" s="3562">
        <v>6.56</v>
      </c>
      <c r="H474" s="3564" t="s">
        <v>3557</v>
      </c>
    </row>
    <row r="475" spans="1:8" s="3558" customFormat="1" ht="12">
      <c r="A475" s="3561">
        <v>291</v>
      </c>
      <c r="B475" s="4005" t="s">
        <v>3769</v>
      </c>
      <c r="C475" s="4005" t="s">
        <v>3770</v>
      </c>
      <c r="D475" s="3898" t="s">
        <v>3771</v>
      </c>
      <c r="E475" s="3565" t="s">
        <v>4022</v>
      </c>
      <c r="F475" s="3562">
        <v>40.43</v>
      </c>
      <c r="G475" s="3562">
        <v>6.56</v>
      </c>
      <c r="H475" s="3564" t="s">
        <v>3557</v>
      </c>
    </row>
    <row r="476" spans="1:8" s="3558" customFormat="1" ht="12">
      <c r="A476" s="3561">
        <v>292</v>
      </c>
      <c r="B476" s="4005"/>
      <c r="C476" s="4005"/>
      <c r="D476" s="3898"/>
      <c r="E476" s="3565" t="s">
        <v>4023</v>
      </c>
      <c r="F476" s="3562">
        <v>40.43</v>
      </c>
      <c r="G476" s="3562">
        <v>6.56</v>
      </c>
      <c r="H476" s="3564" t="s">
        <v>3557</v>
      </c>
    </row>
    <row r="477" spans="1:8" s="3558" customFormat="1" ht="12">
      <c r="A477" s="3561">
        <v>293</v>
      </c>
      <c r="B477" s="4005"/>
      <c r="C477" s="4005"/>
      <c r="D477" s="3898"/>
      <c r="E477" s="3565" t="s">
        <v>4024</v>
      </c>
      <c r="F477" s="3562">
        <v>40.43</v>
      </c>
      <c r="G477" s="3562">
        <v>6.56</v>
      </c>
      <c r="H477" s="3564" t="s">
        <v>3557</v>
      </c>
    </row>
    <row r="478" spans="1:8" s="3558" customFormat="1" ht="12">
      <c r="A478" s="3561">
        <v>294</v>
      </c>
      <c r="B478" s="4005"/>
      <c r="C478" s="4005"/>
      <c r="D478" s="3898"/>
      <c r="E478" s="3565" t="s">
        <v>4025</v>
      </c>
      <c r="F478" s="3562">
        <v>40.43</v>
      </c>
      <c r="G478" s="3562">
        <v>6.56</v>
      </c>
      <c r="H478" s="3564" t="s">
        <v>3557</v>
      </c>
    </row>
    <row r="479" spans="1:8" s="3558" customFormat="1" ht="12">
      <c r="A479" s="3561">
        <v>295</v>
      </c>
      <c r="B479" s="4005"/>
      <c r="C479" s="4005"/>
      <c r="D479" s="3898"/>
      <c r="E479" s="3565" t="s">
        <v>4026</v>
      </c>
      <c r="F479" s="3562">
        <v>40.43</v>
      </c>
      <c r="G479" s="3562">
        <v>6.56</v>
      </c>
      <c r="H479" s="3564" t="s">
        <v>3557</v>
      </c>
    </row>
    <row r="480" spans="1:8" s="3558" customFormat="1" ht="12">
      <c r="A480" s="3561">
        <v>296</v>
      </c>
      <c r="B480" s="4005"/>
      <c r="C480" s="4005"/>
      <c r="D480" s="3898"/>
      <c r="E480" s="3565" t="s">
        <v>4027</v>
      </c>
      <c r="F480" s="3562">
        <v>40.43</v>
      </c>
      <c r="G480" s="3562">
        <v>6.56</v>
      </c>
      <c r="H480" s="3564" t="s">
        <v>3557</v>
      </c>
    </row>
    <row r="481" spans="1:8" s="3558" customFormat="1" ht="12">
      <c r="A481" s="3561">
        <v>297</v>
      </c>
      <c r="B481" s="4005"/>
      <c r="C481" s="4005"/>
      <c r="D481" s="3898"/>
      <c r="E481" s="3565" t="s">
        <v>4028</v>
      </c>
      <c r="F481" s="3562">
        <v>40.43</v>
      </c>
      <c r="G481" s="3562">
        <v>6.56</v>
      </c>
      <c r="H481" s="3564" t="s">
        <v>3557</v>
      </c>
    </row>
    <row r="482" spans="1:8" s="3558" customFormat="1" ht="12">
      <c r="A482" s="3561">
        <v>298</v>
      </c>
      <c r="B482" s="4005"/>
      <c r="C482" s="4005"/>
      <c r="D482" s="3898"/>
      <c r="E482" s="3565" t="s">
        <v>4029</v>
      </c>
      <c r="F482" s="3562">
        <v>40.43</v>
      </c>
      <c r="G482" s="3562">
        <v>6.56</v>
      </c>
      <c r="H482" s="3564" t="s">
        <v>3557</v>
      </c>
    </row>
    <row r="483" spans="1:8" s="3558" customFormat="1" ht="12">
      <c r="A483" s="3561">
        <v>299</v>
      </c>
      <c r="B483" s="4005"/>
      <c r="C483" s="4005"/>
      <c r="D483" s="3898"/>
      <c r="E483" s="3565" t="s">
        <v>4030</v>
      </c>
      <c r="F483" s="3562">
        <v>40.43</v>
      </c>
      <c r="G483" s="3562">
        <v>6.56</v>
      </c>
      <c r="H483" s="3564" t="s">
        <v>3557</v>
      </c>
    </row>
    <row r="484" spans="1:8" s="3558" customFormat="1" ht="12">
      <c r="A484" s="3561">
        <v>300</v>
      </c>
      <c r="B484" s="4005"/>
      <c r="C484" s="4005"/>
      <c r="D484" s="3898"/>
      <c r="E484" s="3565" t="s">
        <v>4031</v>
      </c>
      <c r="F484" s="3562">
        <v>40.43</v>
      </c>
      <c r="G484" s="3562">
        <v>6.56</v>
      </c>
      <c r="H484" s="3564" t="s">
        <v>3557</v>
      </c>
    </row>
    <row r="485" spans="1:8" s="3558" customFormat="1" ht="12">
      <c r="A485" s="3561">
        <v>301</v>
      </c>
      <c r="B485" s="4005"/>
      <c r="C485" s="4005"/>
      <c r="D485" s="3898"/>
      <c r="E485" s="3565" t="s">
        <v>4032</v>
      </c>
      <c r="F485" s="3562">
        <v>40.43</v>
      </c>
      <c r="G485" s="3562">
        <v>6.56</v>
      </c>
      <c r="H485" s="3564" t="s">
        <v>3557</v>
      </c>
    </row>
    <row r="486" spans="1:8" s="3558" customFormat="1" ht="12">
      <c r="A486" s="3561">
        <v>302</v>
      </c>
      <c r="B486" s="4005"/>
      <c r="C486" s="4005"/>
      <c r="D486" s="3898"/>
      <c r="E486" s="3565" t="s">
        <v>4033</v>
      </c>
      <c r="F486" s="3562">
        <v>40.43</v>
      </c>
      <c r="G486" s="3562">
        <v>6.56</v>
      </c>
      <c r="H486" s="3564" t="s">
        <v>3557</v>
      </c>
    </row>
    <row r="487" spans="1:8" s="3558" customFormat="1" ht="12">
      <c r="A487" s="3561">
        <v>303</v>
      </c>
      <c r="B487" s="4005"/>
      <c r="C487" s="4005"/>
      <c r="D487" s="3898"/>
      <c r="E487" s="3565" t="s">
        <v>4034</v>
      </c>
      <c r="F487" s="3562">
        <v>40.43</v>
      </c>
      <c r="G487" s="3562">
        <v>6.56</v>
      </c>
      <c r="H487" s="3564" t="s">
        <v>3557</v>
      </c>
    </row>
    <row r="488" spans="1:8" s="3558" customFormat="1" ht="12">
      <c r="A488" s="3561">
        <v>304</v>
      </c>
      <c r="B488" s="4005"/>
      <c r="C488" s="4005"/>
      <c r="D488" s="3898"/>
      <c r="E488" s="3565" t="s">
        <v>4035</v>
      </c>
      <c r="F488" s="3562">
        <v>40.43</v>
      </c>
      <c r="G488" s="3562">
        <v>6.56</v>
      </c>
      <c r="H488" s="3564" t="s">
        <v>3557</v>
      </c>
    </row>
    <row r="489" spans="1:8" s="3558" customFormat="1" ht="12">
      <c r="A489" s="3561">
        <v>305</v>
      </c>
      <c r="B489" s="4005"/>
      <c r="C489" s="4005"/>
      <c r="D489" s="3898"/>
      <c r="E489" s="3565" t="s">
        <v>4036</v>
      </c>
      <c r="F489" s="3562">
        <v>40.43</v>
      </c>
      <c r="G489" s="3562">
        <v>6.56</v>
      </c>
      <c r="H489" s="3564" t="s">
        <v>3557</v>
      </c>
    </row>
    <row r="490" spans="1:8" s="3558" customFormat="1" ht="12">
      <c r="A490" s="3561">
        <v>306</v>
      </c>
      <c r="B490" s="4005"/>
      <c r="C490" s="4005"/>
      <c r="D490" s="3898"/>
      <c r="E490" s="3565" t="s">
        <v>4037</v>
      </c>
      <c r="F490" s="3562">
        <v>40.43</v>
      </c>
      <c r="G490" s="3562">
        <v>6.56</v>
      </c>
      <c r="H490" s="3564" t="s">
        <v>3557</v>
      </c>
    </row>
    <row r="491" spans="1:8" s="3558" customFormat="1" ht="12">
      <c r="A491" s="3561">
        <v>307</v>
      </c>
      <c r="B491" s="4005"/>
      <c r="C491" s="4005"/>
      <c r="D491" s="3898"/>
      <c r="E491" s="3565" t="s">
        <v>4038</v>
      </c>
      <c r="F491" s="3562">
        <v>40.43</v>
      </c>
      <c r="G491" s="3562">
        <v>6.56</v>
      </c>
      <c r="H491" s="3564" t="s">
        <v>3557</v>
      </c>
    </row>
    <row r="492" spans="1:8" s="3558" customFormat="1" ht="12">
      <c r="A492" s="3561">
        <v>308</v>
      </c>
      <c r="B492" s="4005"/>
      <c r="C492" s="4005"/>
      <c r="D492" s="3898"/>
      <c r="E492" s="3565" t="s">
        <v>4039</v>
      </c>
      <c r="F492" s="3562">
        <v>40.43</v>
      </c>
      <c r="G492" s="3562">
        <v>6.56</v>
      </c>
      <c r="H492" s="3564" t="s">
        <v>3557</v>
      </c>
    </row>
    <row r="493" spans="1:8" s="3558" customFormat="1" ht="12">
      <c r="A493" s="3561">
        <v>309</v>
      </c>
      <c r="B493" s="4005"/>
      <c r="C493" s="4005"/>
      <c r="D493" s="3898"/>
      <c r="E493" s="3565" t="s">
        <v>4040</v>
      </c>
      <c r="F493" s="3562">
        <v>40.43</v>
      </c>
      <c r="G493" s="3562">
        <v>6.56</v>
      </c>
      <c r="H493" s="3564" t="s">
        <v>3557</v>
      </c>
    </row>
    <row r="494" spans="1:8" s="3558" customFormat="1" ht="12">
      <c r="A494" s="3561">
        <v>310</v>
      </c>
      <c r="B494" s="4005"/>
      <c r="C494" s="4005"/>
      <c r="D494" s="3898"/>
      <c r="E494" s="3565" t="s">
        <v>4041</v>
      </c>
      <c r="F494" s="3562">
        <v>40.43</v>
      </c>
      <c r="G494" s="3562">
        <v>6.56</v>
      </c>
      <c r="H494" s="3564" t="s">
        <v>3557</v>
      </c>
    </row>
    <row r="495" spans="1:8" s="3558" customFormat="1" ht="12">
      <c r="A495" s="3561">
        <v>311</v>
      </c>
      <c r="B495" s="4005"/>
      <c r="C495" s="4005"/>
      <c r="D495" s="3898"/>
      <c r="E495" s="3565" t="s">
        <v>4042</v>
      </c>
      <c r="F495" s="3562">
        <v>40.43</v>
      </c>
      <c r="G495" s="3562">
        <v>6.56</v>
      </c>
      <c r="H495" s="3564" t="s">
        <v>3557</v>
      </c>
    </row>
    <row r="496" spans="1:8" s="3558" customFormat="1" ht="12">
      <c r="A496" s="3561">
        <v>312</v>
      </c>
      <c r="B496" s="4005"/>
      <c r="C496" s="4005"/>
      <c r="D496" s="3898"/>
      <c r="E496" s="3565" t="s">
        <v>4043</v>
      </c>
      <c r="F496" s="3562">
        <v>40.43</v>
      </c>
      <c r="G496" s="3562">
        <v>6.56</v>
      </c>
      <c r="H496" s="3564" t="s">
        <v>3557</v>
      </c>
    </row>
    <row r="497" spans="1:8" s="3558" customFormat="1" ht="12">
      <c r="A497" s="3561">
        <v>313</v>
      </c>
      <c r="B497" s="4005"/>
      <c r="C497" s="4005"/>
      <c r="D497" s="3898"/>
      <c r="E497" s="3565" t="s">
        <v>4044</v>
      </c>
      <c r="F497" s="3562">
        <v>40.43</v>
      </c>
      <c r="G497" s="3562">
        <v>6.56</v>
      </c>
      <c r="H497" s="3564" t="s">
        <v>3557</v>
      </c>
    </row>
    <row r="498" spans="1:8" s="3558" customFormat="1" ht="12">
      <c r="A498" s="3561">
        <v>314</v>
      </c>
      <c r="B498" s="4005"/>
      <c r="C498" s="4005"/>
      <c r="D498" s="3898"/>
      <c r="E498" s="3565" t="s">
        <v>4045</v>
      </c>
      <c r="F498" s="3562">
        <v>40.43</v>
      </c>
      <c r="G498" s="3562">
        <v>6.56</v>
      </c>
      <c r="H498" s="3564" t="s">
        <v>3557</v>
      </c>
    </row>
    <row r="499" spans="1:8" s="3558" customFormat="1" ht="12">
      <c r="A499" s="3561">
        <v>315</v>
      </c>
      <c r="B499" s="4005"/>
      <c r="C499" s="4005"/>
      <c r="D499" s="3898"/>
      <c r="E499" s="3565" t="s">
        <v>4046</v>
      </c>
      <c r="F499" s="3562">
        <v>40.43</v>
      </c>
      <c r="G499" s="3562">
        <v>6.56</v>
      </c>
      <c r="H499" s="3564" t="s">
        <v>3557</v>
      </c>
    </row>
    <row r="500" spans="1:8" s="3558" customFormat="1" ht="12">
      <c r="A500" s="3561">
        <v>316</v>
      </c>
      <c r="B500" s="4005"/>
      <c r="C500" s="4005"/>
      <c r="D500" s="3898"/>
      <c r="E500" s="3565" t="s">
        <v>4047</v>
      </c>
      <c r="F500" s="3562">
        <v>40.43</v>
      </c>
      <c r="G500" s="3562">
        <v>6.56</v>
      </c>
      <c r="H500" s="3564" t="s">
        <v>3557</v>
      </c>
    </row>
    <row r="501" spans="1:8" s="3558" customFormat="1" ht="12">
      <c r="A501" s="3561">
        <v>317</v>
      </c>
      <c r="B501" s="4005"/>
      <c r="C501" s="4005"/>
      <c r="D501" s="3898"/>
      <c r="E501" s="3565" t="s">
        <v>4048</v>
      </c>
      <c r="F501" s="3562">
        <v>40.43</v>
      </c>
      <c r="G501" s="3562">
        <v>6.56</v>
      </c>
      <c r="H501" s="3564" t="s">
        <v>3557</v>
      </c>
    </row>
    <row r="502" spans="1:8" s="3558" customFormat="1" ht="12">
      <c r="A502" s="3561">
        <v>318</v>
      </c>
      <c r="B502" s="4005"/>
      <c r="C502" s="4005"/>
      <c r="D502" s="3898"/>
      <c r="E502" s="3565" t="s">
        <v>4049</v>
      </c>
      <c r="F502" s="3562">
        <v>40.43</v>
      </c>
      <c r="G502" s="3562">
        <v>6.56</v>
      </c>
      <c r="H502" s="3564" t="s">
        <v>3557</v>
      </c>
    </row>
    <row r="503" spans="1:8" s="3558" customFormat="1" ht="12">
      <c r="A503" s="3561">
        <v>319</v>
      </c>
      <c r="B503" s="4005"/>
      <c r="C503" s="4005"/>
      <c r="D503" s="3898"/>
      <c r="E503" s="3565" t="s">
        <v>4050</v>
      </c>
      <c r="F503" s="3562">
        <v>40.43</v>
      </c>
      <c r="G503" s="3562">
        <v>6.56</v>
      </c>
      <c r="H503" s="3564" t="s">
        <v>3557</v>
      </c>
    </row>
    <row r="504" spans="1:8" s="3558" customFormat="1" ht="12">
      <c r="A504" s="3561">
        <v>320</v>
      </c>
      <c r="B504" s="4005"/>
      <c r="C504" s="4005"/>
      <c r="D504" s="3898"/>
      <c r="E504" s="3565" t="s">
        <v>4051</v>
      </c>
      <c r="F504" s="3562">
        <v>40.43</v>
      </c>
      <c r="G504" s="3562">
        <v>6.56</v>
      </c>
      <c r="H504" s="3564" t="s">
        <v>3557</v>
      </c>
    </row>
    <row r="505" spans="1:8" s="3558" customFormat="1" ht="12">
      <c r="A505" s="3561">
        <v>321</v>
      </c>
      <c r="B505" s="4005"/>
      <c r="C505" s="4005"/>
      <c r="D505" s="3898"/>
      <c r="E505" s="3565" t="s">
        <v>4052</v>
      </c>
      <c r="F505" s="3562">
        <v>40.43</v>
      </c>
      <c r="G505" s="3562">
        <v>6.56</v>
      </c>
      <c r="H505" s="3564" t="s">
        <v>3557</v>
      </c>
    </row>
    <row r="506" spans="1:8" s="3558" customFormat="1" ht="12">
      <c r="A506" s="3561">
        <v>322</v>
      </c>
      <c r="B506" s="4005"/>
      <c r="C506" s="4005"/>
      <c r="D506" s="3898"/>
      <c r="E506" s="3565" t="s">
        <v>4053</v>
      </c>
      <c r="F506" s="3562">
        <v>40.43</v>
      </c>
      <c r="G506" s="3562">
        <v>6.56</v>
      </c>
      <c r="H506" s="3564" t="s">
        <v>3557</v>
      </c>
    </row>
    <row r="507" spans="1:8" s="3558" customFormat="1" ht="12">
      <c r="A507" s="3561">
        <v>323</v>
      </c>
      <c r="B507" s="4005"/>
      <c r="C507" s="4005"/>
      <c r="D507" s="3898"/>
      <c r="E507" s="3565" t="s">
        <v>4054</v>
      </c>
      <c r="F507" s="3562">
        <v>40.43</v>
      </c>
      <c r="G507" s="3562">
        <v>6.56</v>
      </c>
      <c r="H507" s="3564" t="s">
        <v>3557</v>
      </c>
    </row>
    <row r="508" spans="1:8" s="3558" customFormat="1" ht="12">
      <c r="A508" s="3561">
        <v>324</v>
      </c>
      <c r="B508" s="4005"/>
      <c r="C508" s="4005"/>
      <c r="D508" s="3898"/>
      <c r="E508" s="3565" t="s">
        <v>4055</v>
      </c>
      <c r="F508" s="3562">
        <v>40.43</v>
      </c>
      <c r="G508" s="3562">
        <v>6.56</v>
      </c>
      <c r="H508" s="3564" t="s">
        <v>3557</v>
      </c>
    </row>
    <row r="509" spans="1:8" s="3558" customFormat="1" ht="12">
      <c r="A509" s="3561">
        <v>325</v>
      </c>
      <c r="B509" s="4005"/>
      <c r="C509" s="4005"/>
      <c r="D509" s="3898"/>
      <c r="E509" s="3565" t="s">
        <v>4056</v>
      </c>
      <c r="F509" s="3562">
        <v>40.43</v>
      </c>
      <c r="G509" s="3562">
        <v>6.56</v>
      </c>
      <c r="H509" s="3564" t="s">
        <v>3557</v>
      </c>
    </row>
    <row r="510" spans="1:8" s="3558" customFormat="1" ht="12">
      <c r="A510" s="3561">
        <v>326</v>
      </c>
      <c r="B510" s="4005"/>
      <c r="C510" s="4005"/>
      <c r="D510" s="3898"/>
      <c r="E510" s="3565" t="s">
        <v>4057</v>
      </c>
      <c r="F510" s="3562">
        <v>40.43</v>
      </c>
      <c r="G510" s="3562">
        <v>6.56</v>
      </c>
      <c r="H510" s="3564" t="s">
        <v>3557</v>
      </c>
    </row>
    <row r="511" spans="1:8" s="3558" customFormat="1" ht="12">
      <c r="A511" s="3561">
        <v>327</v>
      </c>
      <c r="B511" s="4005"/>
      <c r="C511" s="4005"/>
      <c r="D511" s="3898"/>
      <c r="E511" s="3565" t="s">
        <v>4058</v>
      </c>
      <c r="F511" s="3562">
        <v>40.43</v>
      </c>
      <c r="G511" s="3562">
        <v>6.56</v>
      </c>
      <c r="H511" s="3564" t="s">
        <v>3557</v>
      </c>
    </row>
    <row r="512" spans="1:8" s="3558" customFormat="1" ht="12">
      <c r="A512" s="3561">
        <v>328</v>
      </c>
      <c r="B512" s="4005" t="s">
        <v>3769</v>
      </c>
      <c r="C512" s="4005" t="s">
        <v>3770</v>
      </c>
      <c r="D512" s="3898" t="s">
        <v>3771</v>
      </c>
      <c r="E512" s="3565" t="s">
        <v>4059</v>
      </c>
      <c r="F512" s="3562">
        <v>40.43</v>
      </c>
      <c r="G512" s="3562">
        <v>6.56</v>
      </c>
      <c r="H512" s="3564" t="s">
        <v>3557</v>
      </c>
    </row>
    <row r="513" spans="1:8" s="3558" customFormat="1" ht="12">
      <c r="A513" s="3561">
        <v>329</v>
      </c>
      <c r="B513" s="4005"/>
      <c r="C513" s="4005"/>
      <c r="D513" s="3898"/>
      <c r="E513" s="3565" t="s">
        <v>4060</v>
      </c>
      <c r="F513" s="3562">
        <v>40.43</v>
      </c>
      <c r="G513" s="3562">
        <v>6.56</v>
      </c>
      <c r="H513" s="3564" t="s">
        <v>3557</v>
      </c>
    </row>
    <row r="514" spans="1:8" s="3558" customFormat="1" ht="12">
      <c r="A514" s="3561">
        <v>330</v>
      </c>
      <c r="B514" s="4005"/>
      <c r="C514" s="4005"/>
      <c r="D514" s="3898"/>
      <c r="E514" s="3565" t="s">
        <v>4061</v>
      </c>
      <c r="F514" s="3562">
        <v>40.43</v>
      </c>
      <c r="G514" s="3562">
        <v>6.56</v>
      </c>
      <c r="H514" s="3564" t="s">
        <v>3557</v>
      </c>
    </row>
    <row r="515" spans="1:8" s="3558" customFormat="1" ht="12">
      <c r="A515" s="3561">
        <v>331</v>
      </c>
      <c r="B515" s="4005"/>
      <c r="C515" s="4005"/>
      <c r="D515" s="3898"/>
      <c r="E515" s="3565" t="s">
        <v>4062</v>
      </c>
      <c r="F515" s="3562">
        <v>40.43</v>
      </c>
      <c r="G515" s="3562">
        <v>6.56</v>
      </c>
      <c r="H515" s="3564" t="s">
        <v>3557</v>
      </c>
    </row>
    <row r="516" spans="1:8" s="3558" customFormat="1" ht="12">
      <c r="A516" s="3561">
        <v>332</v>
      </c>
      <c r="B516" s="4005"/>
      <c r="C516" s="4005"/>
      <c r="D516" s="3898"/>
      <c r="E516" s="3565" t="s">
        <v>4063</v>
      </c>
      <c r="F516" s="3562">
        <v>40.43</v>
      </c>
      <c r="G516" s="3562">
        <v>6.56</v>
      </c>
      <c r="H516" s="3564" t="s">
        <v>3557</v>
      </c>
    </row>
    <row r="517" spans="1:8" s="3558" customFormat="1" ht="12">
      <c r="A517" s="3561">
        <v>333</v>
      </c>
      <c r="B517" s="4005"/>
      <c r="C517" s="4005"/>
      <c r="D517" s="3898"/>
      <c r="E517" s="3565" t="s">
        <v>4064</v>
      </c>
      <c r="F517" s="3562">
        <v>40.43</v>
      </c>
      <c r="G517" s="3562">
        <v>6.56</v>
      </c>
      <c r="H517" s="3564" t="s">
        <v>3557</v>
      </c>
    </row>
    <row r="518" spans="1:8" s="3558" customFormat="1" ht="12">
      <c r="A518" s="3561">
        <v>334</v>
      </c>
      <c r="B518" s="4005"/>
      <c r="C518" s="4005"/>
      <c r="D518" s="3898"/>
      <c r="E518" s="3565" t="s">
        <v>4065</v>
      </c>
      <c r="F518" s="3562">
        <v>40.43</v>
      </c>
      <c r="G518" s="3562">
        <v>6.56</v>
      </c>
      <c r="H518" s="3564" t="s">
        <v>3557</v>
      </c>
    </row>
    <row r="519" spans="1:8" s="3558" customFormat="1" ht="12">
      <c r="A519" s="3561">
        <v>335</v>
      </c>
      <c r="B519" s="4005"/>
      <c r="C519" s="4005"/>
      <c r="D519" s="3898"/>
      <c r="E519" s="3565" t="s">
        <v>4066</v>
      </c>
      <c r="F519" s="3562">
        <v>40.43</v>
      </c>
      <c r="G519" s="3562">
        <v>6.56</v>
      </c>
      <c r="H519" s="3564" t="s">
        <v>3557</v>
      </c>
    </row>
    <row r="520" spans="1:8" s="3558" customFormat="1" ht="12">
      <c r="A520" s="3561">
        <v>336</v>
      </c>
      <c r="B520" s="4005"/>
      <c r="C520" s="4005"/>
      <c r="D520" s="3898"/>
      <c r="E520" s="3565" t="s">
        <v>4067</v>
      </c>
      <c r="F520" s="3562">
        <v>40.43</v>
      </c>
      <c r="G520" s="3562">
        <v>6.56</v>
      </c>
      <c r="H520" s="3564" t="s">
        <v>3557</v>
      </c>
    </row>
    <row r="521" spans="1:8" s="3558" customFormat="1" ht="12">
      <c r="A521" s="3561">
        <v>337</v>
      </c>
      <c r="B521" s="4005"/>
      <c r="C521" s="4005"/>
      <c r="D521" s="3898"/>
      <c r="E521" s="3565" t="s">
        <v>4068</v>
      </c>
      <c r="F521" s="3562">
        <v>40.43</v>
      </c>
      <c r="G521" s="3562">
        <v>6.56</v>
      </c>
      <c r="H521" s="3564" t="s">
        <v>3557</v>
      </c>
    </row>
    <row r="522" spans="1:8" s="3558" customFormat="1" ht="12">
      <c r="A522" s="3561">
        <v>338</v>
      </c>
      <c r="B522" s="4005"/>
      <c r="C522" s="4005"/>
      <c r="D522" s="3898"/>
      <c r="E522" s="3565" t="s">
        <v>4069</v>
      </c>
      <c r="F522" s="3562">
        <v>40.43</v>
      </c>
      <c r="G522" s="3562">
        <v>6.56</v>
      </c>
      <c r="H522" s="3564" t="s">
        <v>3557</v>
      </c>
    </row>
    <row r="523" spans="1:8" s="3558" customFormat="1" ht="12">
      <c r="A523" s="3561">
        <v>339</v>
      </c>
      <c r="B523" s="4005"/>
      <c r="C523" s="4005"/>
      <c r="D523" s="3898"/>
      <c r="E523" s="3565" t="s">
        <v>4070</v>
      </c>
      <c r="F523" s="3562">
        <v>40.43</v>
      </c>
      <c r="G523" s="3562">
        <v>6.56</v>
      </c>
      <c r="H523" s="3564" t="s">
        <v>3557</v>
      </c>
    </row>
    <row r="524" spans="1:8" s="3558" customFormat="1" ht="12">
      <c r="A524" s="3561">
        <v>340</v>
      </c>
      <c r="B524" s="4005"/>
      <c r="C524" s="4005"/>
      <c r="D524" s="3898"/>
      <c r="E524" s="3565" t="s">
        <v>4071</v>
      </c>
      <c r="F524" s="3562">
        <v>40.43</v>
      </c>
      <c r="G524" s="3562">
        <v>6.56</v>
      </c>
      <c r="H524" s="3564" t="s">
        <v>3557</v>
      </c>
    </row>
    <row r="525" spans="1:8" s="3558" customFormat="1" ht="12">
      <c r="A525" s="3561">
        <v>341</v>
      </c>
      <c r="B525" s="4005"/>
      <c r="C525" s="4005"/>
      <c r="D525" s="3898"/>
      <c r="E525" s="3565" t="s">
        <v>4072</v>
      </c>
      <c r="F525" s="3562">
        <v>40.43</v>
      </c>
      <c r="G525" s="3562">
        <v>6.56</v>
      </c>
      <c r="H525" s="3564" t="s">
        <v>3557</v>
      </c>
    </row>
    <row r="526" spans="1:8" s="3558" customFormat="1" ht="12">
      <c r="A526" s="3561">
        <v>342</v>
      </c>
      <c r="B526" s="4005"/>
      <c r="C526" s="4005"/>
      <c r="D526" s="3898"/>
      <c r="E526" s="3565" t="s">
        <v>4073</v>
      </c>
      <c r="F526" s="3562">
        <v>40.43</v>
      </c>
      <c r="G526" s="3562">
        <v>6.56</v>
      </c>
      <c r="H526" s="3564" t="s">
        <v>3557</v>
      </c>
    </row>
    <row r="527" spans="1:8" s="3558" customFormat="1" ht="12">
      <c r="A527" s="3561">
        <v>343</v>
      </c>
      <c r="B527" s="4005"/>
      <c r="C527" s="4005"/>
      <c r="D527" s="3898"/>
      <c r="E527" s="3565" t="s">
        <v>4074</v>
      </c>
      <c r="F527" s="3562">
        <v>40.43</v>
      </c>
      <c r="G527" s="3562">
        <v>6.56</v>
      </c>
      <c r="H527" s="3564" t="s">
        <v>3557</v>
      </c>
    </row>
    <row r="528" spans="1:8" s="3558" customFormat="1" ht="12">
      <c r="A528" s="3561">
        <v>344</v>
      </c>
      <c r="B528" s="4005"/>
      <c r="C528" s="4005"/>
      <c r="D528" s="3898"/>
      <c r="E528" s="3565" t="s">
        <v>4075</v>
      </c>
      <c r="F528" s="3562">
        <v>40.43</v>
      </c>
      <c r="G528" s="3562">
        <v>6.56</v>
      </c>
      <c r="H528" s="3564" t="s">
        <v>3557</v>
      </c>
    </row>
    <row r="529" spans="1:8" s="3558" customFormat="1" ht="12">
      <c r="A529" s="3561">
        <v>345</v>
      </c>
      <c r="B529" s="4005"/>
      <c r="C529" s="4005"/>
      <c r="D529" s="3898"/>
      <c r="E529" s="3565" t="s">
        <v>4076</v>
      </c>
      <c r="F529" s="3562">
        <v>40.43</v>
      </c>
      <c r="G529" s="3562">
        <v>6.56</v>
      </c>
      <c r="H529" s="3564" t="s">
        <v>3557</v>
      </c>
    </row>
    <row r="530" spans="1:8" s="3558" customFormat="1" ht="12">
      <c r="A530" s="3561">
        <v>346</v>
      </c>
      <c r="B530" s="4005"/>
      <c r="C530" s="4005"/>
      <c r="D530" s="3898"/>
      <c r="E530" s="3565" t="s">
        <v>4077</v>
      </c>
      <c r="F530" s="3562">
        <v>40.43</v>
      </c>
      <c r="G530" s="3562">
        <v>6.56</v>
      </c>
      <c r="H530" s="3564" t="s">
        <v>3557</v>
      </c>
    </row>
    <row r="531" spans="1:8" s="3558" customFormat="1" ht="12">
      <c r="A531" s="3561">
        <v>347</v>
      </c>
      <c r="B531" s="4005"/>
      <c r="C531" s="4005"/>
      <c r="D531" s="3898"/>
      <c r="E531" s="3565" t="s">
        <v>4078</v>
      </c>
      <c r="F531" s="3562">
        <v>40.43</v>
      </c>
      <c r="G531" s="3562">
        <v>6.56</v>
      </c>
      <c r="H531" s="3564" t="s">
        <v>3557</v>
      </c>
    </row>
    <row r="532" spans="1:8" s="3558" customFormat="1" ht="12">
      <c r="A532" s="3561">
        <v>348</v>
      </c>
      <c r="B532" s="4005"/>
      <c r="C532" s="4005"/>
      <c r="D532" s="3898"/>
      <c r="E532" s="3565" t="s">
        <v>4079</v>
      </c>
      <c r="F532" s="3562">
        <v>40.43</v>
      </c>
      <c r="G532" s="3562">
        <v>6.56</v>
      </c>
      <c r="H532" s="3564" t="s">
        <v>3557</v>
      </c>
    </row>
    <row r="533" spans="1:8" s="3558" customFormat="1" ht="12">
      <c r="A533" s="3561">
        <v>349</v>
      </c>
      <c r="B533" s="4005"/>
      <c r="C533" s="4005"/>
      <c r="D533" s="3898"/>
      <c r="E533" s="3565" t="s">
        <v>4080</v>
      </c>
      <c r="F533" s="3562">
        <v>40.43</v>
      </c>
      <c r="G533" s="3562">
        <v>6.56</v>
      </c>
      <c r="H533" s="3564" t="s">
        <v>3557</v>
      </c>
    </row>
    <row r="534" spans="1:8" s="3558" customFormat="1" ht="12">
      <c r="A534" s="3561">
        <v>350</v>
      </c>
      <c r="B534" s="4005"/>
      <c r="C534" s="4005"/>
      <c r="D534" s="3898"/>
      <c r="E534" s="3565" t="s">
        <v>4081</v>
      </c>
      <c r="F534" s="3562">
        <v>40.43</v>
      </c>
      <c r="G534" s="3562">
        <v>6.56</v>
      </c>
      <c r="H534" s="3564" t="s">
        <v>3557</v>
      </c>
    </row>
    <row r="535" spans="1:8" s="3558" customFormat="1" ht="12">
      <c r="A535" s="3561">
        <v>351</v>
      </c>
      <c r="B535" s="4005"/>
      <c r="C535" s="4005"/>
      <c r="D535" s="3898"/>
      <c r="E535" s="3565" t="s">
        <v>4082</v>
      </c>
      <c r="F535" s="3562">
        <v>40.43</v>
      </c>
      <c r="G535" s="3562">
        <v>6.56</v>
      </c>
      <c r="H535" s="3564" t="s">
        <v>3557</v>
      </c>
    </row>
    <row r="536" spans="1:8" s="3558" customFormat="1" ht="12">
      <c r="A536" s="3561">
        <v>352</v>
      </c>
      <c r="B536" s="4005"/>
      <c r="C536" s="4005"/>
      <c r="D536" s="3898"/>
      <c r="E536" s="3565" t="s">
        <v>4083</v>
      </c>
      <c r="F536" s="3562">
        <v>40.43</v>
      </c>
      <c r="G536" s="3562">
        <v>6.56</v>
      </c>
      <c r="H536" s="3564" t="s">
        <v>3557</v>
      </c>
    </row>
    <row r="537" spans="1:8" s="3558" customFormat="1" ht="12">
      <c r="A537" s="3561">
        <v>353</v>
      </c>
      <c r="B537" s="4005"/>
      <c r="C537" s="4005"/>
      <c r="D537" s="3898"/>
      <c r="E537" s="3565" t="s">
        <v>4084</v>
      </c>
      <c r="F537" s="3562">
        <v>40.43</v>
      </c>
      <c r="G537" s="3562">
        <v>6.56</v>
      </c>
      <c r="H537" s="3564" t="s">
        <v>3557</v>
      </c>
    </row>
    <row r="538" spans="1:8" s="3558" customFormat="1" ht="12">
      <c r="A538" s="3561">
        <v>354</v>
      </c>
      <c r="B538" s="4005"/>
      <c r="C538" s="4005"/>
      <c r="D538" s="3898"/>
      <c r="E538" s="3565" t="s">
        <v>4085</v>
      </c>
      <c r="F538" s="3562">
        <v>40.43</v>
      </c>
      <c r="G538" s="3562">
        <v>6.56</v>
      </c>
      <c r="H538" s="3564" t="s">
        <v>3557</v>
      </c>
    </row>
    <row r="539" spans="1:8" s="3558" customFormat="1" ht="12">
      <c r="A539" s="3561">
        <v>355</v>
      </c>
      <c r="B539" s="4005"/>
      <c r="C539" s="4005"/>
      <c r="D539" s="3898"/>
      <c r="E539" s="3565" t="s">
        <v>4086</v>
      </c>
      <c r="F539" s="3562">
        <v>80.86</v>
      </c>
      <c r="G539" s="3562">
        <v>13.12</v>
      </c>
      <c r="H539" s="3564" t="s">
        <v>3557</v>
      </c>
    </row>
    <row r="540" spans="1:8" s="3558" customFormat="1" ht="12">
      <c r="A540" s="3561">
        <v>356</v>
      </c>
      <c r="B540" s="4005" t="s">
        <v>3769</v>
      </c>
      <c r="C540" s="4005" t="s">
        <v>3770</v>
      </c>
      <c r="D540" s="3898" t="s">
        <v>3771</v>
      </c>
      <c r="E540" s="3565" t="s">
        <v>4087</v>
      </c>
      <c r="F540" s="3562">
        <v>80.86</v>
      </c>
      <c r="G540" s="3562">
        <v>13.12</v>
      </c>
      <c r="H540" s="3564" t="s">
        <v>3557</v>
      </c>
    </row>
    <row r="541" spans="1:8" s="3558" customFormat="1" ht="12">
      <c r="A541" s="3561">
        <v>357</v>
      </c>
      <c r="B541" s="4005"/>
      <c r="C541" s="4005"/>
      <c r="D541" s="3898"/>
      <c r="E541" s="3565" t="s">
        <v>4088</v>
      </c>
      <c r="F541" s="3562">
        <v>80.86</v>
      </c>
      <c r="G541" s="3562">
        <v>13.12</v>
      </c>
      <c r="H541" s="3564" t="s">
        <v>3557</v>
      </c>
    </row>
    <row r="542" spans="1:8" s="3558" customFormat="1" ht="12">
      <c r="A542" s="3561">
        <v>358</v>
      </c>
      <c r="B542" s="4005"/>
      <c r="C542" s="4005"/>
      <c r="D542" s="3898"/>
      <c r="E542" s="3565" t="s">
        <v>4089</v>
      </c>
      <c r="F542" s="3562">
        <v>80.86</v>
      </c>
      <c r="G542" s="3562">
        <v>13.12</v>
      </c>
      <c r="H542" s="3564" t="s">
        <v>3557</v>
      </c>
    </row>
    <row r="543" spans="1:8" s="3558" customFormat="1" ht="12">
      <c r="A543" s="3561">
        <v>359</v>
      </c>
      <c r="B543" s="4005"/>
      <c r="C543" s="4005"/>
      <c r="D543" s="3898"/>
      <c r="E543" s="3565" t="s">
        <v>4090</v>
      </c>
      <c r="F543" s="3562">
        <v>80.86</v>
      </c>
      <c r="G543" s="3562">
        <v>13.12</v>
      </c>
      <c r="H543" s="3564" t="s">
        <v>3557</v>
      </c>
    </row>
    <row r="544" spans="1:8" s="3558" customFormat="1" ht="12">
      <c r="A544" s="3561">
        <v>360</v>
      </c>
      <c r="B544" s="4005"/>
      <c r="C544" s="4005"/>
      <c r="D544" s="3898"/>
      <c r="E544" s="3565" t="s">
        <v>4091</v>
      </c>
      <c r="F544" s="3562">
        <v>40.43</v>
      </c>
      <c r="G544" s="3562">
        <v>6.56</v>
      </c>
      <c r="H544" s="3564" t="s">
        <v>3557</v>
      </c>
    </row>
    <row r="545" spans="1:8" s="3558" customFormat="1" ht="12">
      <c r="A545" s="3561">
        <v>361</v>
      </c>
      <c r="B545" s="4005"/>
      <c r="C545" s="4005"/>
      <c r="D545" s="3898"/>
      <c r="E545" s="3565" t="s">
        <v>4092</v>
      </c>
      <c r="F545" s="3562">
        <v>40.43</v>
      </c>
      <c r="G545" s="3562">
        <v>6.56</v>
      </c>
      <c r="H545" s="3564" t="s">
        <v>3557</v>
      </c>
    </row>
    <row r="546" spans="1:8" s="3558" customFormat="1" ht="12">
      <c r="A546" s="3561">
        <v>362</v>
      </c>
      <c r="B546" s="4005"/>
      <c r="C546" s="4005"/>
      <c r="D546" s="3898"/>
      <c r="E546" s="3565" t="s">
        <v>4093</v>
      </c>
      <c r="F546" s="3562">
        <v>40.43</v>
      </c>
      <c r="G546" s="3562">
        <v>6.56</v>
      </c>
      <c r="H546" s="3564" t="s">
        <v>3557</v>
      </c>
    </row>
    <row r="547" spans="1:8" s="3558" customFormat="1" ht="12">
      <c r="A547" s="3561">
        <v>363</v>
      </c>
      <c r="B547" s="4005"/>
      <c r="C547" s="4005"/>
      <c r="D547" s="3898"/>
      <c r="E547" s="3565" t="s">
        <v>4094</v>
      </c>
      <c r="F547" s="3562">
        <v>40.43</v>
      </c>
      <c r="G547" s="3562">
        <v>6.56</v>
      </c>
      <c r="H547" s="3564" t="s">
        <v>3557</v>
      </c>
    </row>
    <row r="548" spans="1:8" s="3558" customFormat="1" ht="12">
      <c r="A548" s="3561">
        <v>364</v>
      </c>
      <c r="B548" s="4005"/>
      <c r="C548" s="4005"/>
      <c r="D548" s="3898"/>
      <c r="E548" s="3565" t="s">
        <v>4095</v>
      </c>
      <c r="F548" s="3562">
        <v>40.43</v>
      </c>
      <c r="G548" s="3562">
        <v>6.56</v>
      </c>
      <c r="H548" s="3564" t="s">
        <v>3557</v>
      </c>
    </row>
    <row r="549" spans="1:8" s="3558" customFormat="1" ht="12">
      <c r="A549" s="3561">
        <v>365</v>
      </c>
      <c r="B549" s="4005"/>
      <c r="C549" s="4005"/>
      <c r="D549" s="3898"/>
      <c r="E549" s="3565" t="s">
        <v>4096</v>
      </c>
      <c r="F549" s="3562">
        <v>40.43</v>
      </c>
      <c r="G549" s="3562">
        <v>6.56</v>
      </c>
      <c r="H549" s="3564" t="s">
        <v>3557</v>
      </c>
    </row>
    <row r="550" spans="1:8" s="3558" customFormat="1" ht="12">
      <c r="A550" s="3561">
        <v>366</v>
      </c>
      <c r="B550" s="4005"/>
      <c r="C550" s="4005"/>
      <c r="D550" s="3898"/>
      <c r="E550" s="3565" t="s">
        <v>4097</v>
      </c>
      <c r="F550" s="3562">
        <v>80.86</v>
      </c>
      <c r="G550" s="3562">
        <v>13.12</v>
      </c>
      <c r="H550" s="3564" t="s">
        <v>3557</v>
      </c>
    </row>
    <row r="551" spans="1:8" s="3558" customFormat="1" ht="12">
      <c r="A551" s="3561">
        <v>367</v>
      </c>
      <c r="B551" s="4005"/>
      <c r="C551" s="4005"/>
      <c r="D551" s="3898"/>
      <c r="E551" s="3565" t="s">
        <v>4098</v>
      </c>
      <c r="F551" s="3562">
        <v>80.86</v>
      </c>
      <c r="G551" s="3562">
        <v>13.12</v>
      </c>
      <c r="H551" s="3564" t="s">
        <v>3557</v>
      </c>
    </row>
    <row r="552" spans="1:8" s="3558" customFormat="1" ht="12">
      <c r="A552" s="3561">
        <v>368</v>
      </c>
      <c r="B552" s="4005"/>
      <c r="C552" s="4005"/>
      <c r="D552" s="3898"/>
      <c r="E552" s="3565" t="s">
        <v>4099</v>
      </c>
      <c r="F552" s="3562">
        <v>40.43</v>
      </c>
      <c r="G552" s="3562">
        <v>6.56</v>
      </c>
      <c r="H552" s="3564" t="s">
        <v>3557</v>
      </c>
    </row>
    <row r="553" spans="1:8" s="3558" customFormat="1" ht="12">
      <c r="A553" s="3561">
        <v>369</v>
      </c>
      <c r="B553" s="4005"/>
      <c r="C553" s="4005"/>
      <c r="D553" s="3898"/>
      <c r="E553" s="3565" t="s">
        <v>4100</v>
      </c>
      <c r="F553" s="3562">
        <v>40.43</v>
      </c>
      <c r="G553" s="3562">
        <v>6.56</v>
      </c>
      <c r="H553" s="3564" t="s">
        <v>3557</v>
      </c>
    </row>
    <row r="554" spans="1:8" s="3558" customFormat="1" ht="12">
      <c r="A554" s="3561">
        <v>370</v>
      </c>
      <c r="B554" s="4005"/>
      <c r="C554" s="4005"/>
      <c r="D554" s="3898"/>
      <c r="E554" s="3565" t="s">
        <v>4101</v>
      </c>
      <c r="F554" s="3562">
        <v>40.43</v>
      </c>
      <c r="G554" s="3562">
        <v>6.56</v>
      </c>
      <c r="H554" s="3564" t="s">
        <v>3557</v>
      </c>
    </row>
    <row r="555" spans="1:8" s="3558" customFormat="1" ht="12">
      <c r="A555" s="3561">
        <v>371</v>
      </c>
      <c r="B555" s="4005"/>
      <c r="C555" s="4005"/>
      <c r="D555" s="3898"/>
      <c r="E555" s="3565" t="s">
        <v>4102</v>
      </c>
      <c r="F555" s="3562">
        <v>40.43</v>
      </c>
      <c r="G555" s="3562">
        <v>6.56</v>
      </c>
      <c r="H555" s="3564" t="s">
        <v>3557</v>
      </c>
    </row>
    <row r="556" spans="1:8" s="3558" customFormat="1" ht="12">
      <c r="A556" s="3561">
        <v>372</v>
      </c>
      <c r="B556" s="4005"/>
      <c r="C556" s="4005"/>
      <c r="D556" s="3898"/>
      <c r="E556" s="3565" t="s">
        <v>4103</v>
      </c>
      <c r="F556" s="3562">
        <v>80.86</v>
      </c>
      <c r="G556" s="3562">
        <v>13.12</v>
      </c>
      <c r="H556" s="3564" t="s">
        <v>3557</v>
      </c>
    </row>
    <row r="557" spans="1:8" s="3558" customFormat="1" ht="12">
      <c r="A557" s="3561">
        <v>373</v>
      </c>
      <c r="B557" s="4005"/>
      <c r="C557" s="4005"/>
      <c r="D557" s="3898"/>
      <c r="E557" s="3565" t="s">
        <v>4104</v>
      </c>
      <c r="F557" s="3562">
        <v>80.86</v>
      </c>
      <c r="G557" s="3562">
        <v>13.12</v>
      </c>
      <c r="H557" s="3564" t="s">
        <v>3557</v>
      </c>
    </row>
    <row r="558" spans="1:8" s="3558" customFormat="1" ht="12">
      <c r="A558" s="3561">
        <v>374</v>
      </c>
      <c r="B558" s="4005"/>
      <c r="C558" s="4005"/>
      <c r="D558" s="3898"/>
      <c r="E558" s="3565" t="s">
        <v>4105</v>
      </c>
      <c r="F558" s="3562">
        <v>40.43</v>
      </c>
      <c r="G558" s="3562">
        <v>6.56</v>
      </c>
      <c r="H558" s="3564" t="s">
        <v>3557</v>
      </c>
    </row>
    <row r="559" spans="1:8" s="3558" customFormat="1" ht="12">
      <c r="A559" s="3561">
        <v>375</v>
      </c>
      <c r="B559" s="4005"/>
      <c r="C559" s="4005"/>
      <c r="D559" s="3898"/>
      <c r="E559" s="3565" t="s">
        <v>4106</v>
      </c>
      <c r="F559" s="3562">
        <v>40.43</v>
      </c>
      <c r="G559" s="3562">
        <v>6.56</v>
      </c>
      <c r="H559" s="3564" t="s">
        <v>3557</v>
      </c>
    </row>
    <row r="560" spans="1:8" s="3558" customFormat="1" ht="12">
      <c r="A560" s="3561">
        <v>376</v>
      </c>
      <c r="B560" s="4005"/>
      <c r="C560" s="4005"/>
      <c r="D560" s="3898"/>
      <c r="E560" s="3565" t="s">
        <v>4107</v>
      </c>
      <c r="F560" s="3562">
        <v>40.43</v>
      </c>
      <c r="G560" s="3562">
        <v>6.56</v>
      </c>
      <c r="H560" s="3564" t="s">
        <v>3557</v>
      </c>
    </row>
    <row r="561" spans="1:8" s="3558" customFormat="1" ht="12">
      <c r="A561" s="3561">
        <v>377</v>
      </c>
      <c r="B561" s="4005"/>
      <c r="C561" s="4005"/>
      <c r="D561" s="3898"/>
      <c r="E561" s="3565" t="s">
        <v>4108</v>
      </c>
      <c r="F561" s="3562">
        <v>40.43</v>
      </c>
      <c r="G561" s="3562">
        <v>6.56</v>
      </c>
      <c r="H561" s="3564" t="s">
        <v>3557</v>
      </c>
    </row>
    <row r="562" spans="1:8" s="3558" customFormat="1" ht="12">
      <c r="A562" s="3561">
        <v>378</v>
      </c>
      <c r="B562" s="4005"/>
      <c r="C562" s="4005"/>
      <c r="D562" s="3898"/>
      <c r="E562" s="3565" t="s">
        <v>4109</v>
      </c>
      <c r="F562" s="3562">
        <v>40.43</v>
      </c>
      <c r="G562" s="3562">
        <v>6.56</v>
      </c>
      <c r="H562" s="3564" t="s">
        <v>3557</v>
      </c>
    </row>
    <row r="563" spans="1:8" s="3558" customFormat="1" ht="12">
      <c r="A563" s="3561">
        <v>379</v>
      </c>
      <c r="B563" s="4005"/>
      <c r="C563" s="4005"/>
      <c r="D563" s="3898"/>
      <c r="E563" s="3565" t="s">
        <v>4110</v>
      </c>
      <c r="F563" s="3562">
        <v>40.43</v>
      </c>
      <c r="G563" s="3562">
        <v>6.56</v>
      </c>
      <c r="H563" s="3564" t="s">
        <v>3557</v>
      </c>
    </row>
    <row r="564" spans="1:8" s="3558" customFormat="1" ht="12">
      <c r="A564" s="3561">
        <v>380</v>
      </c>
      <c r="B564" s="4005"/>
      <c r="C564" s="4005"/>
      <c r="D564" s="3898"/>
      <c r="E564" s="3565" t="s">
        <v>4111</v>
      </c>
      <c r="F564" s="3562">
        <v>40.43</v>
      </c>
      <c r="G564" s="3562">
        <v>6.56</v>
      </c>
      <c r="H564" s="3564" t="s">
        <v>3557</v>
      </c>
    </row>
    <row r="565" spans="1:8" s="3558" customFormat="1" ht="12">
      <c r="A565" s="3561">
        <v>381</v>
      </c>
      <c r="B565" s="4005"/>
      <c r="C565" s="4005"/>
      <c r="D565" s="3898"/>
      <c r="E565" s="3565" t="s">
        <v>4112</v>
      </c>
      <c r="F565" s="3562">
        <v>40.43</v>
      </c>
      <c r="G565" s="3562">
        <v>6.56</v>
      </c>
      <c r="H565" s="3564" t="s">
        <v>3557</v>
      </c>
    </row>
    <row r="566" spans="1:8" s="3558" customFormat="1" ht="12">
      <c r="A566" s="3561">
        <v>382</v>
      </c>
      <c r="B566" s="4005"/>
      <c r="C566" s="4005"/>
      <c r="D566" s="3898"/>
      <c r="E566" s="3565" t="s">
        <v>4113</v>
      </c>
      <c r="F566" s="3562">
        <v>40.43</v>
      </c>
      <c r="G566" s="3562">
        <v>6.56</v>
      </c>
      <c r="H566" s="3564" t="s">
        <v>3557</v>
      </c>
    </row>
    <row r="567" spans="1:8" s="3558" customFormat="1" ht="12">
      <c r="A567" s="3561">
        <v>383</v>
      </c>
      <c r="B567" s="4005"/>
      <c r="C567" s="4005"/>
      <c r="D567" s="3898"/>
      <c r="E567" s="3565" t="s">
        <v>4114</v>
      </c>
      <c r="F567" s="3562">
        <v>40.43</v>
      </c>
      <c r="G567" s="3562">
        <v>6.56</v>
      </c>
      <c r="H567" s="3564" t="s">
        <v>3557</v>
      </c>
    </row>
    <row r="568" spans="1:8" s="3558" customFormat="1" ht="12">
      <c r="A568" s="3561">
        <v>384</v>
      </c>
      <c r="B568" s="4005"/>
      <c r="C568" s="4005"/>
      <c r="D568" s="3898"/>
      <c r="E568" s="3565" t="s">
        <v>4115</v>
      </c>
      <c r="F568" s="3562">
        <v>40.43</v>
      </c>
      <c r="G568" s="3562">
        <v>6.56</v>
      </c>
      <c r="H568" s="3564" t="s">
        <v>3557</v>
      </c>
    </row>
    <row r="569" spans="1:8" s="3558" customFormat="1" ht="12">
      <c r="A569" s="3561">
        <v>385</v>
      </c>
      <c r="B569" s="4005"/>
      <c r="C569" s="4005"/>
      <c r="D569" s="3898"/>
      <c r="E569" s="3565" t="s">
        <v>4116</v>
      </c>
      <c r="F569" s="3562">
        <v>40.43</v>
      </c>
      <c r="G569" s="3562">
        <v>6.56</v>
      </c>
      <c r="H569" s="3564" t="s">
        <v>3557</v>
      </c>
    </row>
    <row r="570" spans="1:8" s="3558" customFormat="1" ht="12">
      <c r="A570" s="3561">
        <v>386</v>
      </c>
      <c r="B570" s="4005"/>
      <c r="C570" s="4005"/>
      <c r="D570" s="3898"/>
      <c r="E570" s="3565" t="s">
        <v>4117</v>
      </c>
      <c r="F570" s="3562">
        <v>40.43</v>
      </c>
      <c r="G570" s="3562">
        <v>6.56</v>
      </c>
      <c r="H570" s="3564" t="s">
        <v>3557</v>
      </c>
    </row>
    <row r="571" spans="1:8" s="3558" customFormat="1" ht="12">
      <c r="A571" s="3561">
        <v>387</v>
      </c>
      <c r="B571" s="4005"/>
      <c r="C571" s="4005"/>
      <c r="D571" s="3898"/>
      <c r="E571" s="3565" t="s">
        <v>4118</v>
      </c>
      <c r="F571" s="3562">
        <v>40.43</v>
      </c>
      <c r="G571" s="3562">
        <v>6.56</v>
      </c>
      <c r="H571" s="3564" t="s">
        <v>3557</v>
      </c>
    </row>
    <row r="572" spans="1:8" s="3558" customFormat="1" ht="12">
      <c r="A572" s="3561">
        <v>388</v>
      </c>
      <c r="B572" s="4005"/>
      <c r="C572" s="4005"/>
      <c r="D572" s="3898"/>
      <c r="E572" s="3565" t="s">
        <v>4119</v>
      </c>
      <c r="F572" s="3562">
        <v>40.43</v>
      </c>
      <c r="G572" s="3562">
        <v>6.56</v>
      </c>
      <c r="H572" s="3564" t="s">
        <v>3557</v>
      </c>
    </row>
    <row r="573" spans="1:8" s="3558" customFormat="1" ht="12">
      <c r="A573" s="3561">
        <v>389</v>
      </c>
      <c r="B573" s="4005"/>
      <c r="C573" s="4005"/>
      <c r="D573" s="3898"/>
      <c r="E573" s="3565" t="s">
        <v>4120</v>
      </c>
      <c r="F573" s="3562">
        <v>40.43</v>
      </c>
      <c r="G573" s="3562">
        <v>6.56</v>
      </c>
      <c r="H573" s="3564" t="s">
        <v>3557</v>
      </c>
    </row>
    <row r="574" spans="1:8" s="3558" customFormat="1" ht="12">
      <c r="A574" s="3561">
        <v>390</v>
      </c>
      <c r="B574" s="4005"/>
      <c r="C574" s="4005"/>
      <c r="D574" s="3898"/>
      <c r="E574" s="3565" t="s">
        <v>4121</v>
      </c>
      <c r="F574" s="3562">
        <v>40.43</v>
      </c>
      <c r="G574" s="3562">
        <v>6.56</v>
      </c>
      <c r="H574" s="3564" t="s">
        <v>3557</v>
      </c>
    </row>
    <row r="575" spans="1:8" s="3558" customFormat="1" ht="12">
      <c r="A575" s="3561">
        <v>391</v>
      </c>
      <c r="B575" s="4005"/>
      <c r="C575" s="4005"/>
      <c r="D575" s="3898"/>
      <c r="E575" s="3565" t="s">
        <v>4122</v>
      </c>
      <c r="F575" s="3562">
        <v>40.43</v>
      </c>
      <c r="G575" s="3562">
        <v>6.56</v>
      </c>
      <c r="H575" s="3564" t="s">
        <v>3557</v>
      </c>
    </row>
    <row r="576" spans="1:8" s="3558" customFormat="1" ht="12">
      <c r="A576" s="3561">
        <v>392</v>
      </c>
      <c r="B576" s="4005"/>
      <c r="C576" s="4005"/>
      <c r="D576" s="3898"/>
      <c r="E576" s="3565" t="s">
        <v>4123</v>
      </c>
      <c r="F576" s="3562">
        <v>40.43</v>
      </c>
      <c r="G576" s="3562">
        <v>6.56</v>
      </c>
      <c r="H576" s="3564" t="s">
        <v>3557</v>
      </c>
    </row>
    <row r="577" spans="1:8" s="3558" customFormat="1" ht="12">
      <c r="A577" s="3561">
        <v>393</v>
      </c>
      <c r="B577" s="4005"/>
      <c r="C577" s="4005"/>
      <c r="D577" s="3898"/>
      <c r="E577" s="3565" t="s">
        <v>4124</v>
      </c>
      <c r="F577" s="3562">
        <v>40.43</v>
      </c>
      <c r="G577" s="3562">
        <v>6.56</v>
      </c>
      <c r="H577" s="3564" t="s">
        <v>3557</v>
      </c>
    </row>
    <row r="578" spans="1:8" s="3558" customFormat="1" ht="12">
      <c r="A578" s="3561">
        <v>394</v>
      </c>
      <c r="B578" s="4005"/>
      <c r="C578" s="4005"/>
      <c r="D578" s="3898"/>
      <c r="E578" s="3565" t="s">
        <v>4125</v>
      </c>
      <c r="F578" s="3562">
        <v>40.43</v>
      </c>
      <c r="G578" s="3562">
        <v>6.56</v>
      </c>
      <c r="H578" s="3564" t="s">
        <v>3557</v>
      </c>
    </row>
    <row r="579" spans="1:8" s="3558" customFormat="1" ht="12">
      <c r="A579" s="3561">
        <v>395</v>
      </c>
      <c r="B579" s="4005"/>
      <c r="C579" s="4005"/>
      <c r="D579" s="3898"/>
      <c r="E579" s="3565" t="s">
        <v>4126</v>
      </c>
      <c r="F579" s="3562">
        <v>40.43</v>
      </c>
      <c r="G579" s="3562">
        <v>6.56</v>
      </c>
      <c r="H579" s="3564" t="s">
        <v>3557</v>
      </c>
    </row>
    <row r="580" spans="1:8" s="3558" customFormat="1" ht="12">
      <c r="A580" s="3561">
        <v>396</v>
      </c>
      <c r="B580" s="4005"/>
      <c r="C580" s="4005"/>
      <c r="D580" s="3898"/>
      <c r="E580" s="3565" t="s">
        <v>4127</v>
      </c>
      <c r="F580" s="3562">
        <v>40.43</v>
      </c>
      <c r="G580" s="3562">
        <v>6.56</v>
      </c>
      <c r="H580" s="3564" t="s">
        <v>3557</v>
      </c>
    </row>
    <row r="581" spans="1:8" s="3558" customFormat="1" ht="12">
      <c r="A581" s="3561">
        <v>397</v>
      </c>
      <c r="B581" s="4005"/>
      <c r="C581" s="4005"/>
      <c r="D581" s="3898"/>
      <c r="E581" s="3565" t="s">
        <v>4128</v>
      </c>
      <c r="F581" s="3562">
        <v>40.43</v>
      </c>
      <c r="G581" s="3562">
        <v>6.56</v>
      </c>
      <c r="H581" s="3564" t="s">
        <v>3557</v>
      </c>
    </row>
    <row r="582" spans="1:8" s="3558" customFormat="1" ht="12">
      <c r="A582" s="3561">
        <v>398</v>
      </c>
      <c r="B582" s="4005"/>
      <c r="C582" s="4005"/>
      <c r="D582" s="3898"/>
      <c r="E582" s="3565" t="s">
        <v>4129</v>
      </c>
      <c r="F582" s="3562">
        <v>40.43</v>
      </c>
      <c r="G582" s="3562">
        <v>6.56</v>
      </c>
      <c r="H582" s="3564" t="s">
        <v>3557</v>
      </c>
    </row>
    <row r="583" spans="1:8" s="3558" customFormat="1" ht="12">
      <c r="A583" s="3561">
        <v>399</v>
      </c>
      <c r="B583" s="4005"/>
      <c r="C583" s="4005"/>
      <c r="D583" s="3898"/>
      <c r="E583" s="3565" t="s">
        <v>4130</v>
      </c>
      <c r="F583" s="3562">
        <v>40.43</v>
      </c>
      <c r="G583" s="3562">
        <v>6.56</v>
      </c>
      <c r="H583" s="3564" t="s">
        <v>3557</v>
      </c>
    </row>
    <row r="584" spans="1:8" s="3558" customFormat="1" ht="12">
      <c r="A584" s="3561">
        <v>400</v>
      </c>
      <c r="B584" s="4005"/>
      <c r="C584" s="4005"/>
      <c r="D584" s="3898"/>
      <c r="E584" s="3565" t="s">
        <v>4131</v>
      </c>
      <c r="F584" s="3562">
        <v>40.43</v>
      </c>
      <c r="G584" s="3562">
        <v>6.56</v>
      </c>
      <c r="H584" s="3564" t="s">
        <v>3557</v>
      </c>
    </row>
    <row r="585" spans="1:8" s="3558" customFormat="1" ht="12">
      <c r="A585" s="3561">
        <v>401</v>
      </c>
      <c r="B585" s="4005"/>
      <c r="C585" s="4005"/>
      <c r="D585" s="3898"/>
      <c r="E585" s="3565" t="s">
        <v>4132</v>
      </c>
      <c r="F585" s="3562">
        <v>40.43</v>
      </c>
      <c r="G585" s="3562">
        <v>6.56</v>
      </c>
      <c r="H585" s="3564" t="s">
        <v>3557</v>
      </c>
    </row>
    <row r="586" spans="1:8" s="3558" customFormat="1" ht="12">
      <c r="A586" s="3561">
        <v>402</v>
      </c>
      <c r="B586" s="4005"/>
      <c r="C586" s="4005"/>
      <c r="D586" s="3898"/>
      <c r="E586" s="3565" t="s">
        <v>4133</v>
      </c>
      <c r="F586" s="3562">
        <v>40.43</v>
      </c>
      <c r="G586" s="3562">
        <v>6.56</v>
      </c>
      <c r="H586" s="3564" t="s">
        <v>3557</v>
      </c>
    </row>
    <row r="587" spans="1:8" s="3558" customFormat="1" ht="12">
      <c r="A587" s="3561">
        <v>403</v>
      </c>
      <c r="B587" s="4005"/>
      <c r="C587" s="4005"/>
      <c r="D587" s="3898"/>
      <c r="E587" s="3565" t="s">
        <v>4134</v>
      </c>
      <c r="F587" s="3562">
        <v>40.43</v>
      </c>
      <c r="G587" s="3562">
        <v>6.56</v>
      </c>
      <c r="H587" s="3564" t="s">
        <v>3557</v>
      </c>
    </row>
    <row r="588" spans="1:8" s="3558" customFormat="1" ht="12">
      <c r="A588" s="3561">
        <v>404</v>
      </c>
      <c r="B588" s="4005" t="s">
        <v>3769</v>
      </c>
      <c r="C588" s="4005" t="s">
        <v>3770</v>
      </c>
      <c r="D588" s="3898" t="s">
        <v>3771</v>
      </c>
      <c r="E588" s="3565" t="s">
        <v>4135</v>
      </c>
      <c r="F588" s="3562">
        <v>40.43</v>
      </c>
      <c r="G588" s="3562">
        <v>6.56</v>
      </c>
      <c r="H588" s="3564" t="s">
        <v>3557</v>
      </c>
    </row>
    <row r="589" spans="1:8" s="3558" customFormat="1" ht="12">
      <c r="A589" s="3561">
        <v>405</v>
      </c>
      <c r="B589" s="4005"/>
      <c r="C589" s="4005"/>
      <c r="D589" s="3898"/>
      <c r="E589" s="3565" t="s">
        <v>4136</v>
      </c>
      <c r="F589" s="3562">
        <v>40.43</v>
      </c>
      <c r="G589" s="3562">
        <v>6.56</v>
      </c>
      <c r="H589" s="3564" t="s">
        <v>3557</v>
      </c>
    </row>
    <row r="590" spans="1:8" s="3558" customFormat="1" ht="12">
      <c r="A590" s="3561">
        <v>406</v>
      </c>
      <c r="B590" s="4005"/>
      <c r="C590" s="4005"/>
      <c r="D590" s="3898"/>
      <c r="E590" s="3565" t="s">
        <v>4137</v>
      </c>
      <c r="F590" s="3562">
        <v>40.43</v>
      </c>
      <c r="G590" s="3562">
        <v>6.56</v>
      </c>
      <c r="H590" s="3564" t="s">
        <v>3557</v>
      </c>
    </row>
    <row r="591" spans="1:8" s="3558" customFormat="1" ht="12">
      <c r="A591" s="3561">
        <v>407</v>
      </c>
      <c r="B591" s="4005"/>
      <c r="C591" s="4005"/>
      <c r="D591" s="3898"/>
      <c r="E591" s="3565" t="s">
        <v>4138</v>
      </c>
      <c r="F591" s="3562">
        <v>40.43</v>
      </c>
      <c r="G591" s="3562">
        <v>6.56</v>
      </c>
      <c r="H591" s="3564" t="s">
        <v>3557</v>
      </c>
    </row>
    <row r="592" spans="1:8" s="3558" customFormat="1" ht="12">
      <c r="A592" s="3561">
        <v>408</v>
      </c>
      <c r="B592" s="4005"/>
      <c r="C592" s="4005"/>
      <c r="D592" s="3898"/>
      <c r="E592" s="3565" t="s">
        <v>4139</v>
      </c>
      <c r="F592" s="3562">
        <v>40.43</v>
      </c>
      <c r="G592" s="3562">
        <v>6.56</v>
      </c>
      <c r="H592" s="3564" t="s">
        <v>3557</v>
      </c>
    </row>
    <row r="593" spans="1:8" s="3558" customFormat="1" ht="12">
      <c r="A593" s="3561">
        <v>409</v>
      </c>
      <c r="B593" s="4005"/>
      <c r="C593" s="4005"/>
      <c r="D593" s="3898"/>
      <c r="E593" s="3565" t="s">
        <v>4140</v>
      </c>
      <c r="F593" s="3562">
        <v>40.43</v>
      </c>
      <c r="G593" s="3562">
        <v>6.56</v>
      </c>
      <c r="H593" s="3564" t="s">
        <v>3557</v>
      </c>
    </row>
    <row r="594" spans="1:8" s="3558" customFormat="1" ht="12">
      <c r="A594" s="3561">
        <v>410</v>
      </c>
      <c r="B594" s="4005"/>
      <c r="C594" s="4005"/>
      <c r="D594" s="3898"/>
      <c r="E594" s="3565" t="s">
        <v>4141</v>
      </c>
      <c r="F594" s="3562">
        <v>40.43</v>
      </c>
      <c r="G594" s="3562">
        <v>6.56</v>
      </c>
      <c r="H594" s="3564" t="s">
        <v>3557</v>
      </c>
    </row>
    <row r="595" spans="1:8" s="3558" customFormat="1" ht="12">
      <c r="A595" s="3561">
        <v>411</v>
      </c>
      <c r="B595" s="4005"/>
      <c r="C595" s="4005"/>
      <c r="D595" s="3898"/>
      <c r="E595" s="3565" t="s">
        <v>4142</v>
      </c>
      <c r="F595" s="3562">
        <v>40.43</v>
      </c>
      <c r="G595" s="3562">
        <v>6.56</v>
      </c>
      <c r="H595" s="3564" t="s">
        <v>3557</v>
      </c>
    </row>
    <row r="596" spans="1:8" s="3558" customFormat="1" ht="12">
      <c r="A596" s="3561">
        <v>412</v>
      </c>
      <c r="B596" s="4005"/>
      <c r="C596" s="4005"/>
      <c r="D596" s="3898"/>
      <c r="E596" s="3565" t="s">
        <v>4143</v>
      </c>
      <c r="F596" s="3562">
        <v>40.43</v>
      </c>
      <c r="G596" s="3562">
        <v>6.56</v>
      </c>
      <c r="H596" s="3564" t="s">
        <v>3557</v>
      </c>
    </row>
    <row r="597" spans="1:8" s="3558" customFormat="1" ht="12">
      <c r="A597" s="3561">
        <v>413</v>
      </c>
      <c r="B597" s="4005"/>
      <c r="C597" s="4005"/>
      <c r="D597" s="3898"/>
      <c r="E597" s="3565" t="s">
        <v>4144</v>
      </c>
      <c r="F597" s="3562">
        <v>40.43</v>
      </c>
      <c r="G597" s="3562">
        <v>6.56</v>
      </c>
      <c r="H597" s="3564" t="s">
        <v>3557</v>
      </c>
    </row>
    <row r="598" spans="1:8" s="3558" customFormat="1" ht="12">
      <c r="A598" s="3561">
        <v>414</v>
      </c>
      <c r="B598" s="4005"/>
      <c r="C598" s="4005"/>
      <c r="D598" s="3898"/>
      <c r="E598" s="3565" t="s">
        <v>4145</v>
      </c>
      <c r="F598" s="3562">
        <v>40.43</v>
      </c>
      <c r="G598" s="3562">
        <v>6.56</v>
      </c>
      <c r="H598" s="3564" t="s">
        <v>3557</v>
      </c>
    </row>
    <row r="599" spans="1:8" s="3558" customFormat="1" ht="12">
      <c r="A599" s="3561">
        <v>415</v>
      </c>
      <c r="B599" s="4005"/>
      <c r="C599" s="4005"/>
      <c r="D599" s="3898"/>
      <c r="E599" s="3565" t="s">
        <v>4146</v>
      </c>
      <c r="F599" s="3562">
        <v>40.43</v>
      </c>
      <c r="G599" s="3562">
        <v>6.56</v>
      </c>
      <c r="H599" s="3564" t="s">
        <v>3557</v>
      </c>
    </row>
    <row r="600" spans="1:8" s="3558" customFormat="1" ht="12">
      <c r="A600" s="3561">
        <v>416</v>
      </c>
      <c r="B600" s="4005"/>
      <c r="C600" s="4005"/>
      <c r="D600" s="3898"/>
      <c r="E600" s="3565" t="s">
        <v>4147</v>
      </c>
      <c r="F600" s="3562">
        <v>40.43</v>
      </c>
      <c r="G600" s="3562">
        <v>6.56</v>
      </c>
      <c r="H600" s="3564" t="s">
        <v>3557</v>
      </c>
    </row>
    <row r="601" spans="1:8" s="3558" customFormat="1" ht="12">
      <c r="A601" s="3561">
        <v>417</v>
      </c>
      <c r="B601" s="4005"/>
      <c r="C601" s="4005"/>
      <c r="D601" s="3898"/>
      <c r="E601" s="3565" t="s">
        <v>4148</v>
      </c>
      <c r="F601" s="3562">
        <v>40.43</v>
      </c>
      <c r="G601" s="3562">
        <v>6.56</v>
      </c>
      <c r="H601" s="3564" t="s">
        <v>3557</v>
      </c>
    </row>
    <row r="602" spans="1:8" s="3558" customFormat="1" ht="12">
      <c r="A602" s="3561">
        <v>418</v>
      </c>
      <c r="B602" s="4005"/>
      <c r="C602" s="4005"/>
      <c r="D602" s="3898"/>
      <c r="E602" s="3565" t="s">
        <v>4149</v>
      </c>
      <c r="F602" s="3562">
        <v>40.43</v>
      </c>
      <c r="G602" s="3562">
        <v>6.56</v>
      </c>
      <c r="H602" s="3564" t="s">
        <v>3557</v>
      </c>
    </row>
    <row r="603" spans="1:8" s="3558" customFormat="1" ht="12">
      <c r="A603" s="3561">
        <v>419</v>
      </c>
      <c r="B603" s="4005"/>
      <c r="C603" s="4005"/>
      <c r="D603" s="3898"/>
      <c r="E603" s="3565" t="s">
        <v>4150</v>
      </c>
      <c r="F603" s="3562">
        <v>40.43</v>
      </c>
      <c r="G603" s="3562">
        <v>6.56</v>
      </c>
      <c r="H603" s="3564" t="s">
        <v>3557</v>
      </c>
    </row>
    <row r="604" spans="1:8" s="3558" customFormat="1" ht="12">
      <c r="A604" s="3561">
        <v>420</v>
      </c>
      <c r="B604" s="4005"/>
      <c r="C604" s="4005"/>
      <c r="D604" s="3898"/>
      <c r="E604" s="3565" t="s">
        <v>4151</v>
      </c>
      <c r="F604" s="3562">
        <v>40.43</v>
      </c>
      <c r="G604" s="3562">
        <v>6.56</v>
      </c>
      <c r="H604" s="3564" t="s">
        <v>3557</v>
      </c>
    </row>
    <row r="605" spans="1:8" s="3558" customFormat="1" ht="12">
      <c r="A605" s="3561">
        <v>421</v>
      </c>
      <c r="B605" s="4005"/>
      <c r="C605" s="4005"/>
      <c r="D605" s="3898"/>
      <c r="E605" s="3565" t="s">
        <v>4152</v>
      </c>
      <c r="F605" s="3562">
        <v>40.43</v>
      </c>
      <c r="G605" s="3562">
        <v>6.56</v>
      </c>
      <c r="H605" s="3564" t="s">
        <v>3557</v>
      </c>
    </row>
    <row r="606" spans="1:8" s="3558" customFormat="1" ht="12">
      <c r="A606" s="3561">
        <v>422</v>
      </c>
      <c r="B606" s="4005"/>
      <c r="C606" s="4005"/>
      <c r="D606" s="3898"/>
      <c r="E606" s="3565" t="s">
        <v>4153</v>
      </c>
      <c r="F606" s="3562">
        <v>40.43</v>
      </c>
      <c r="G606" s="3562">
        <v>6.56</v>
      </c>
      <c r="H606" s="3564" t="s">
        <v>3557</v>
      </c>
    </row>
    <row r="607" spans="1:8" s="3558" customFormat="1" ht="12">
      <c r="A607" s="3561">
        <v>423</v>
      </c>
      <c r="B607" s="4005"/>
      <c r="C607" s="4005"/>
      <c r="D607" s="3898"/>
      <c r="E607" s="3565" t="s">
        <v>4154</v>
      </c>
      <c r="F607" s="3562">
        <v>40.43</v>
      </c>
      <c r="G607" s="3562">
        <v>6.56</v>
      </c>
      <c r="H607" s="3564" t="s">
        <v>3557</v>
      </c>
    </row>
    <row r="608" spans="1:8" s="3558" customFormat="1" ht="12">
      <c r="A608" s="3561">
        <v>424</v>
      </c>
      <c r="B608" s="4005"/>
      <c r="C608" s="4005"/>
      <c r="D608" s="3898"/>
      <c r="E608" s="3565" t="s">
        <v>4155</v>
      </c>
      <c r="F608" s="3562">
        <v>40.43</v>
      </c>
      <c r="G608" s="3562">
        <v>6.56</v>
      </c>
      <c r="H608" s="3564" t="s">
        <v>3557</v>
      </c>
    </row>
    <row r="609" spans="1:8" s="3558" customFormat="1" ht="12">
      <c r="A609" s="3561">
        <v>425</v>
      </c>
      <c r="B609" s="4005"/>
      <c r="C609" s="4005"/>
      <c r="D609" s="3898"/>
      <c r="E609" s="3565" t="s">
        <v>4156</v>
      </c>
      <c r="F609" s="3562">
        <v>40.43</v>
      </c>
      <c r="G609" s="3562">
        <v>6.56</v>
      </c>
      <c r="H609" s="3564" t="s">
        <v>3557</v>
      </c>
    </row>
    <row r="610" spans="1:8" s="3558" customFormat="1" ht="12">
      <c r="A610" s="3561">
        <v>426</v>
      </c>
      <c r="B610" s="4005"/>
      <c r="C610" s="4005"/>
      <c r="D610" s="3898"/>
      <c r="E610" s="3565" t="s">
        <v>4157</v>
      </c>
      <c r="F610" s="3562">
        <v>40.43</v>
      </c>
      <c r="G610" s="3562">
        <v>6.56</v>
      </c>
      <c r="H610" s="3564" t="s">
        <v>3557</v>
      </c>
    </row>
    <row r="611" spans="1:8" s="3558" customFormat="1" ht="12">
      <c r="A611" s="3561">
        <v>427</v>
      </c>
      <c r="B611" s="4005"/>
      <c r="C611" s="4005"/>
      <c r="D611" s="3898"/>
      <c r="E611" s="3565" t="s">
        <v>4158</v>
      </c>
      <c r="F611" s="3562">
        <v>40.43</v>
      </c>
      <c r="G611" s="3562">
        <v>6.56</v>
      </c>
      <c r="H611" s="3564" t="s">
        <v>3557</v>
      </c>
    </row>
    <row r="612" spans="1:8">
      <c r="A612" s="3999" t="s">
        <v>4286</v>
      </c>
      <c r="B612" s="4000"/>
      <c r="C612" s="4000"/>
      <c r="D612" s="4000"/>
      <c r="E612" s="4001"/>
      <c r="F612" s="3560">
        <f>SUM(F201:F611)</f>
        <v>18117.960000000083</v>
      </c>
      <c r="G612" s="3560">
        <f>SUM(G201:G611)</f>
        <v>2938.6199999999822</v>
      </c>
      <c r="H612" s="3566"/>
    </row>
    <row r="613" spans="1:8">
      <c r="A613" s="3999" t="s">
        <v>2591</v>
      </c>
      <c r="B613" s="4000"/>
      <c r="C613" s="4000"/>
      <c r="D613" s="4000"/>
      <c r="E613" s="4001"/>
      <c r="F613" s="3560">
        <f>SUM(F185:F611)</f>
        <v>22261.000000000116</v>
      </c>
      <c r="G613" s="3560">
        <f>SUM(G185:G611)</f>
        <v>3610.6599999999776</v>
      </c>
      <c r="H613" s="3566"/>
    </row>
    <row r="614" spans="1:8">
      <c r="E614" s="3586" t="s">
        <v>4287</v>
      </c>
      <c r="F614" s="3576">
        <f>SUM(F612,F182)</f>
        <v>26498.130000000074</v>
      </c>
    </row>
  </sheetData>
  <mergeCells count="77">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 ref="B259:B295"/>
    <mergeCell ref="C259:C295"/>
    <mergeCell ref="D259:D295"/>
    <mergeCell ref="B296:B332"/>
    <mergeCell ref="C296:C332"/>
    <mergeCell ref="D296:D332"/>
    <mergeCell ref="B333:B344"/>
    <mergeCell ref="C333:C344"/>
    <mergeCell ref="D333:D344"/>
    <mergeCell ref="B345:B355"/>
    <mergeCell ref="C345:C355"/>
    <mergeCell ref="D345:D355"/>
    <mergeCell ref="C438:C474"/>
    <mergeCell ref="D438:D474"/>
    <mergeCell ref="B356:B363"/>
    <mergeCell ref="C356:C363"/>
    <mergeCell ref="D356:D363"/>
    <mergeCell ref="B364:B400"/>
    <mergeCell ref="C364:C400"/>
    <mergeCell ref="D364:D400"/>
    <mergeCell ref="B401:B437"/>
    <mergeCell ref="C401:C437"/>
    <mergeCell ref="D401:D437"/>
    <mergeCell ref="B438:B474"/>
    <mergeCell ref="A612:E612"/>
    <mergeCell ref="A613:E613"/>
    <mergeCell ref="B540:B568"/>
    <mergeCell ref="C540:C568"/>
    <mergeCell ref="D540:D568"/>
    <mergeCell ref="B569:B587"/>
    <mergeCell ref="C569:C587"/>
    <mergeCell ref="D569:D587"/>
    <mergeCell ref="B588:B611"/>
    <mergeCell ref="C588:C611"/>
    <mergeCell ref="D588:D611"/>
    <mergeCell ref="B475:B511"/>
    <mergeCell ref="C475:C511"/>
    <mergeCell ref="D475:D511"/>
    <mergeCell ref="B512:B539"/>
    <mergeCell ref="C512:C539"/>
    <mergeCell ref="D512:D539"/>
    <mergeCell ref="B100:B116"/>
    <mergeCell ref="C100:C116"/>
    <mergeCell ref="D100:D116"/>
    <mergeCell ref="B117:B124"/>
    <mergeCell ref="C117:C124"/>
    <mergeCell ref="D117:D124"/>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s>
  <phoneticPr fontId="134" type="noConversion"/>
  <conditionalFormatting sqref="E185:E200">
    <cfRule type="duplicateValues" dxfId="2" priority="1"/>
  </conditionalFormatting>
  <conditionalFormatting sqref="E1 E184 E201:E611 E614">
    <cfRule type="duplicateValues" dxfId="1"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4" t="s">
        <v>2084</v>
      </c>
      <c r="D1" s="3895"/>
      <c r="E1" s="3895"/>
      <c r="F1" s="3895"/>
      <c r="G1" s="3895"/>
      <c r="H1" s="3895"/>
      <c r="I1" s="3895"/>
      <c r="J1" s="3895"/>
      <c r="K1" s="3895"/>
      <c r="L1" s="3895"/>
      <c r="M1" s="3895"/>
      <c r="N1" s="3895"/>
      <c r="O1" s="3895"/>
      <c r="P1" s="3895"/>
      <c r="Q1" s="3895"/>
      <c r="R1" s="3895"/>
      <c r="S1" s="3896"/>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6090</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2298</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91" t="s">
        <v>27</v>
      </c>
      <c r="D22" s="3892"/>
      <c r="E22" s="3892"/>
      <c r="F22" s="3892"/>
      <c r="G22" s="3892"/>
      <c r="H22" s="3892"/>
      <c r="I22" s="3892"/>
      <c r="J22" s="3892"/>
      <c r="K22" s="3892"/>
      <c r="L22" s="3892"/>
      <c r="M22" s="3892"/>
      <c r="N22" s="3892"/>
      <c r="O22" s="3892"/>
      <c r="P22" s="3892"/>
      <c r="Q22" s="3893"/>
      <c r="R22" s="659">
        <f ca="1">ROUND(S22*10000/B22,0)</f>
        <v>2298</v>
      </c>
      <c r="S22" s="21">
        <f ca="1">SUM(S24:S10000)</f>
        <v>6090</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2408</v>
      </c>
      <c r="S24" s="661">
        <f t="shared" ref="S24:S87" ca="1" si="6">ROUND(R24*B24/10000,0)</f>
        <v>11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2167</v>
      </c>
      <c r="S25" s="316">
        <f t="shared" ca="1" si="6"/>
        <v>10</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2167</v>
      </c>
      <c r="S26" s="316">
        <f t="shared" ca="1" si="6"/>
        <v>10</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2167</v>
      </c>
      <c r="S27" s="316">
        <f t="shared" ca="1" si="6"/>
        <v>10</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2167</v>
      </c>
      <c r="S28" s="316">
        <f t="shared" ca="1" si="6"/>
        <v>10</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2167</v>
      </c>
      <c r="S29" s="316">
        <f t="shared" ca="1" si="6"/>
        <v>10</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2167</v>
      </c>
      <c r="S30" s="316">
        <f t="shared" ca="1" si="6"/>
        <v>10</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2167</v>
      </c>
      <c r="S31" s="316">
        <f t="shared" ca="1" si="6"/>
        <v>10</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2167</v>
      </c>
      <c r="S32" s="316">
        <f t="shared" ca="1" si="6"/>
        <v>10</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2167</v>
      </c>
      <c r="S33" s="316">
        <f t="shared" ca="1" si="6"/>
        <v>10</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2167</v>
      </c>
      <c r="S34" s="316">
        <f t="shared" ca="1" si="6"/>
        <v>10</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2167</v>
      </c>
      <c r="S35" s="316">
        <f t="shared" ca="1" si="6"/>
        <v>11</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2167</v>
      </c>
      <c r="S36" s="316">
        <f t="shared" ca="1" si="6"/>
        <v>10</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2167</v>
      </c>
      <c r="S37" s="316">
        <f t="shared" ca="1" si="6"/>
        <v>10</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2167</v>
      </c>
      <c r="S38" s="316">
        <f t="shared" ca="1" si="6"/>
        <v>10</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2167</v>
      </c>
      <c r="S39" s="316">
        <f t="shared" ca="1" si="6"/>
        <v>10</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2167</v>
      </c>
      <c r="S40" s="316">
        <f t="shared" ca="1" si="6"/>
        <v>10</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2167</v>
      </c>
      <c r="S41" s="316">
        <f t="shared" ca="1" si="6"/>
        <v>19</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2167</v>
      </c>
      <c r="S42" s="316">
        <f t="shared" ca="1" si="6"/>
        <v>19</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2167</v>
      </c>
      <c r="S43" s="316">
        <f t="shared" ca="1" si="6"/>
        <v>11</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2167</v>
      </c>
      <c r="S44" s="316">
        <f t="shared" ca="1" si="6"/>
        <v>11</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2167</v>
      </c>
      <c r="S45" s="316">
        <f t="shared" ca="1" si="6"/>
        <v>10</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2167</v>
      </c>
      <c r="S46" s="316">
        <f t="shared" ca="1" si="6"/>
        <v>10</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2167</v>
      </c>
      <c r="S47" s="316">
        <f t="shared" ca="1" si="6"/>
        <v>10</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2167</v>
      </c>
      <c r="S48" s="316">
        <f t="shared" ca="1" si="6"/>
        <v>10</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2167</v>
      </c>
      <c r="S49" s="316">
        <f t="shared" ca="1" si="6"/>
        <v>10</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2167</v>
      </c>
      <c r="S50" s="316">
        <f t="shared" ca="1" si="6"/>
        <v>10</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2167</v>
      </c>
      <c r="S51" s="316">
        <f t="shared" ca="1" si="6"/>
        <v>10</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2167</v>
      </c>
      <c r="S52" s="316">
        <f t="shared" ca="1" si="6"/>
        <v>10</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2167</v>
      </c>
      <c r="S53" s="316">
        <f t="shared" ca="1" si="6"/>
        <v>10</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2167</v>
      </c>
      <c r="S54" s="316">
        <f t="shared" ca="1" si="6"/>
        <v>11</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2167</v>
      </c>
      <c r="S55" s="316">
        <f t="shared" ca="1" si="6"/>
        <v>11</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2167</v>
      </c>
      <c r="S56" s="316">
        <f t="shared" ca="1" si="6"/>
        <v>11</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2167</v>
      </c>
      <c r="S57" s="316">
        <f t="shared" ca="1" si="6"/>
        <v>10</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2167</v>
      </c>
      <c r="S58" s="316">
        <f t="shared" ca="1" si="6"/>
        <v>10</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2167</v>
      </c>
      <c r="S59" s="316">
        <f t="shared" ca="1" si="6"/>
        <v>10</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2167</v>
      </c>
      <c r="S60" s="316">
        <f t="shared" ca="1" si="6"/>
        <v>10</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2167</v>
      </c>
      <c r="S61" s="316">
        <f t="shared" ca="1" si="6"/>
        <v>10</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2167</v>
      </c>
      <c r="S62" s="316">
        <f t="shared" ca="1" si="6"/>
        <v>10</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2167</v>
      </c>
      <c r="S63" s="316">
        <f t="shared" ca="1" si="6"/>
        <v>10</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2167</v>
      </c>
      <c r="S64" s="316">
        <f t="shared" ca="1" si="6"/>
        <v>10</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2167</v>
      </c>
      <c r="S65" s="316">
        <f t="shared" ca="1" si="6"/>
        <v>10</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2167</v>
      </c>
      <c r="S66" s="316">
        <f t="shared" ca="1" si="6"/>
        <v>10</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2167</v>
      </c>
      <c r="S67" s="316">
        <f t="shared" ca="1" si="6"/>
        <v>10</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2167</v>
      </c>
      <c r="S68" s="316">
        <f t="shared" ca="1" si="6"/>
        <v>10</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2167</v>
      </c>
      <c r="S69" s="316">
        <f t="shared" ca="1" si="6"/>
        <v>10</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2167</v>
      </c>
      <c r="S70" s="316">
        <f t="shared" ca="1" si="6"/>
        <v>10</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2167</v>
      </c>
      <c r="S71" s="316">
        <f t="shared" ca="1" si="6"/>
        <v>10</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2167</v>
      </c>
      <c r="S72" s="316">
        <f t="shared" ca="1" si="6"/>
        <v>10</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2167</v>
      </c>
      <c r="S73" s="316">
        <f t="shared" ca="1" si="6"/>
        <v>10</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2167</v>
      </c>
      <c r="S74" s="316">
        <f t="shared" ca="1" si="6"/>
        <v>10</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2167</v>
      </c>
      <c r="S75" s="316">
        <f t="shared" ca="1" si="6"/>
        <v>11</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2167</v>
      </c>
      <c r="S76" s="316">
        <f t="shared" ca="1" si="6"/>
        <v>10</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2167</v>
      </c>
      <c r="S77" s="316">
        <f t="shared" ca="1" si="6"/>
        <v>10</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2167</v>
      </c>
      <c r="S78" s="316">
        <f t="shared" ca="1" si="6"/>
        <v>10</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2167</v>
      </c>
      <c r="S79" s="316">
        <f t="shared" ca="1" si="6"/>
        <v>10</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2167</v>
      </c>
      <c r="S80" s="316">
        <f t="shared" ca="1" si="6"/>
        <v>10</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2167</v>
      </c>
      <c r="S81" s="316">
        <f t="shared" ca="1" si="6"/>
        <v>10</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2167</v>
      </c>
      <c r="S82" s="316">
        <f t="shared" ca="1" si="6"/>
        <v>10</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2167</v>
      </c>
      <c r="S83" s="316">
        <f t="shared" ca="1" si="6"/>
        <v>10</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2167</v>
      </c>
      <c r="S84" s="316">
        <f t="shared" ca="1" si="6"/>
        <v>10</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2167</v>
      </c>
      <c r="S85" s="316">
        <f t="shared" ca="1" si="6"/>
        <v>10</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2167</v>
      </c>
      <c r="S86" s="316">
        <f t="shared" ca="1" si="6"/>
        <v>10</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2167</v>
      </c>
      <c r="S87" s="316">
        <f t="shared" ca="1" si="6"/>
        <v>10</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2167</v>
      </c>
      <c r="S88" s="316">
        <f t="shared" ref="S88:S151" ca="1" si="16">ROUND(R88*B88/10000,0)</f>
        <v>10</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2167</v>
      </c>
      <c r="S89" s="316">
        <f t="shared" ca="1" si="16"/>
        <v>10</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2167</v>
      </c>
      <c r="S90" s="316">
        <f t="shared" ca="1" si="16"/>
        <v>10</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2167</v>
      </c>
      <c r="S91" s="316">
        <f t="shared" ca="1" si="16"/>
        <v>10</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2167</v>
      </c>
      <c r="S92" s="316">
        <f t="shared" ca="1" si="16"/>
        <v>10</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2167</v>
      </c>
      <c r="S93" s="316">
        <f t="shared" ca="1" si="16"/>
        <v>10</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2167</v>
      </c>
      <c r="S94" s="316">
        <f t="shared" ca="1" si="16"/>
        <v>11</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2167</v>
      </c>
      <c r="S95" s="316">
        <f t="shared" ca="1" si="16"/>
        <v>10</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2167</v>
      </c>
      <c r="S96" s="316">
        <f t="shared" ca="1" si="16"/>
        <v>10</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2167</v>
      </c>
      <c r="S97" s="316">
        <f t="shared" ca="1" si="16"/>
        <v>10</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2167</v>
      </c>
      <c r="S98" s="316">
        <f t="shared" ca="1" si="16"/>
        <v>10</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2167</v>
      </c>
      <c r="S99" s="316">
        <f t="shared" ca="1" si="16"/>
        <v>10</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2102</v>
      </c>
      <c r="S100" s="316">
        <f t="shared" ca="1" si="16"/>
        <v>15</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2167</v>
      </c>
      <c r="S101" s="316">
        <f t="shared" ca="1" si="16"/>
        <v>10</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2167</v>
      </c>
      <c r="S102" s="316">
        <f t="shared" ca="1" si="16"/>
        <v>10</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2167</v>
      </c>
      <c r="S103" s="316">
        <f t="shared" ca="1" si="16"/>
        <v>10</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2167</v>
      </c>
      <c r="S104" s="316">
        <f t="shared" ca="1" si="16"/>
        <v>10</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2167</v>
      </c>
      <c r="S105" s="316">
        <f t="shared" ca="1" si="16"/>
        <v>10</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2102</v>
      </c>
      <c r="S106" s="316">
        <f t="shared" ca="1" si="16"/>
        <v>15</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2167</v>
      </c>
      <c r="S107" s="316">
        <f t="shared" ca="1" si="16"/>
        <v>10</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2167</v>
      </c>
      <c r="S108" s="316">
        <f t="shared" ca="1" si="16"/>
        <v>10</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2167</v>
      </c>
      <c r="S109" s="316">
        <f t="shared" ca="1" si="16"/>
        <v>10</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2167</v>
      </c>
      <c r="S110" s="316">
        <f t="shared" ca="1" si="16"/>
        <v>10</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2167</v>
      </c>
      <c r="S111" s="316">
        <f t="shared" ca="1" si="16"/>
        <v>19</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2167</v>
      </c>
      <c r="S112" s="316">
        <f t="shared" ca="1" si="16"/>
        <v>19</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2167</v>
      </c>
      <c r="S113" s="316">
        <f t="shared" ca="1" si="16"/>
        <v>19</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2167</v>
      </c>
      <c r="S114" s="316">
        <f t="shared" ca="1" si="16"/>
        <v>11</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2167</v>
      </c>
      <c r="S115" s="316">
        <f t="shared" ca="1" si="16"/>
        <v>19</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2167</v>
      </c>
      <c r="S116" s="316">
        <f t="shared" ca="1" si="16"/>
        <v>19</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2167</v>
      </c>
      <c r="S117" s="316">
        <f t="shared" ca="1" si="16"/>
        <v>19</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2167</v>
      </c>
      <c r="S118" s="316">
        <f t="shared" ca="1" si="16"/>
        <v>10</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2288</v>
      </c>
      <c r="S119" s="316">
        <f t="shared" ca="1" si="16"/>
        <v>10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2288</v>
      </c>
      <c r="S120" s="316">
        <f t="shared" ca="1" si="16"/>
        <v>11</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2288</v>
      </c>
      <c r="S121" s="316">
        <f t="shared" ca="1" si="16"/>
        <v>21</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2288</v>
      </c>
      <c r="S122" s="316">
        <f t="shared" ca="1" si="16"/>
        <v>10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2288</v>
      </c>
      <c r="S123" s="316">
        <f t="shared" ca="1" si="16"/>
        <v>10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2288</v>
      </c>
      <c r="S124" s="316">
        <f t="shared" ca="1" si="16"/>
        <v>10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2288</v>
      </c>
      <c r="S125" s="316">
        <f t="shared" ca="1" si="16"/>
        <v>10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2288</v>
      </c>
      <c r="S126" s="316">
        <f t="shared" ca="1" si="16"/>
        <v>10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2288</v>
      </c>
      <c r="S127" s="316">
        <f t="shared" ca="1" si="16"/>
        <v>10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2288</v>
      </c>
      <c r="S128" s="316">
        <f t="shared" ca="1" si="16"/>
        <v>10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2288</v>
      </c>
      <c r="S129" s="316">
        <f t="shared" ca="1" si="16"/>
        <v>10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2288</v>
      </c>
      <c r="S130" s="316">
        <f t="shared" ca="1" si="16"/>
        <v>10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2288</v>
      </c>
      <c r="S131" s="316">
        <f t="shared" ca="1" si="16"/>
        <v>10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2288</v>
      </c>
      <c r="S132" s="316">
        <f t="shared" ca="1" si="16"/>
        <v>10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2288</v>
      </c>
      <c r="S133" s="316">
        <f t="shared" ca="1" si="16"/>
        <v>10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2288</v>
      </c>
      <c r="S134" s="316">
        <f t="shared" ca="1" si="16"/>
        <v>10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2288</v>
      </c>
      <c r="S135" s="316">
        <f t="shared" ca="1" si="16"/>
        <v>10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2288</v>
      </c>
      <c r="S136" s="316">
        <f t="shared" ca="1" si="16"/>
        <v>10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2288</v>
      </c>
      <c r="S137" s="316">
        <f t="shared" ca="1" si="16"/>
        <v>10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2288</v>
      </c>
      <c r="S138" s="316">
        <f t="shared" ca="1" si="16"/>
        <v>10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2288</v>
      </c>
      <c r="S139" s="316">
        <f t="shared" ca="1" si="16"/>
        <v>10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2288</v>
      </c>
      <c r="S140" s="316">
        <f t="shared" ca="1" si="16"/>
        <v>10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2288</v>
      </c>
      <c r="S141" s="316">
        <f t="shared" ca="1" si="16"/>
        <v>10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2288</v>
      </c>
      <c r="S142" s="316">
        <f t="shared" ca="1" si="16"/>
        <v>10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2288</v>
      </c>
      <c r="S143" s="316">
        <f t="shared" ca="1" si="16"/>
        <v>10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2288</v>
      </c>
      <c r="S144" s="316">
        <f t="shared" ca="1" si="16"/>
        <v>10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2288</v>
      </c>
      <c r="S145" s="316">
        <f t="shared" ca="1" si="16"/>
        <v>10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2288</v>
      </c>
      <c r="S146" s="316">
        <f t="shared" ca="1" si="16"/>
        <v>10</v>
      </c>
      <c r="T146" s="720" t="str">
        <f>'商办车库-新'!H159</f>
        <v>车位</v>
      </c>
    </row>
    <row r="147" spans="1:20">
      <c r="A147" s="3577" t="str">
        <f>新的车位!E131</f>
        <v>B101</v>
      </c>
      <c r="B147" s="3577"/>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2408</v>
      </c>
      <c r="S148" s="316">
        <f t="shared" ca="1" si="16"/>
        <v>11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2408</v>
      </c>
      <c r="S149" s="316">
        <f t="shared" ca="1" si="16"/>
        <v>11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2408</v>
      </c>
      <c r="S150" s="316">
        <f t="shared" ca="1" si="16"/>
        <v>11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2408</v>
      </c>
      <c r="S151" s="316">
        <f t="shared" ca="1" si="16"/>
        <v>11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2408</v>
      </c>
      <c r="S152" s="316">
        <f t="shared" ref="S152:S215" ca="1" si="26">ROUND(R152*B152/10000,0)</f>
        <v>11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2408</v>
      </c>
      <c r="S153" s="316">
        <f t="shared" ca="1" si="26"/>
        <v>11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2408</v>
      </c>
      <c r="S154" s="316">
        <f t="shared" ca="1" si="26"/>
        <v>11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2408</v>
      </c>
      <c r="S155" s="316">
        <f t="shared" ca="1" si="26"/>
        <v>11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2408</v>
      </c>
      <c r="S156" s="316">
        <f t="shared" ca="1" si="26"/>
        <v>11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2408</v>
      </c>
      <c r="S157" s="316">
        <f t="shared" ca="1" si="26"/>
        <v>11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2360</v>
      </c>
      <c r="S158" s="316">
        <f t="shared" ca="1" si="26"/>
        <v>16</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2408</v>
      </c>
      <c r="S159" s="316">
        <f t="shared" ca="1" si="26"/>
        <v>12</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2408</v>
      </c>
      <c r="S160" s="316">
        <f t="shared" ca="1" si="26"/>
        <v>12</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2408</v>
      </c>
      <c r="S161" s="316">
        <f t="shared" ca="1" si="26"/>
        <v>12</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2408</v>
      </c>
      <c r="S162" s="316">
        <f t="shared" ca="1" si="26"/>
        <v>11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2408</v>
      </c>
      <c r="S163" s="316">
        <f t="shared" ca="1" si="26"/>
        <v>11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2408</v>
      </c>
      <c r="S164" s="316">
        <f t="shared" ca="1" si="26"/>
        <v>11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2408</v>
      </c>
      <c r="S165" s="316">
        <f t="shared" ca="1" si="26"/>
        <v>11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2408</v>
      </c>
      <c r="S166" s="316">
        <f t="shared" ca="1" si="26"/>
        <v>11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2408</v>
      </c>
      <c r="S167" s="316">
        <f t="shared" ca="1" si="26"/>
        <v>11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2408</v>
      </c>
      <c r="S168" s="316">
        <f t="shared" ca="1" si="26"/>
        <v>11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2408</v>
      </c>
      <c r="S169" s="316">
        <f t="shared" ca="1" si="26"/>
        <v>11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2408</v>
      </c>
      <c r="S170" s="316">
        <f t="shared" ca="1" si="26"/>
        <v>11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2408</v>
      </c>
      <c r="S171" s="316">
        <f t="shared" ca="1" si="26"/>
        <v>11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2408</v>
      </c>
      <c r="S172" s="316">
        <f t="shared" ca="1" si="26"/>
        <v>11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2408</v>
      </c>
      <c r="S173" s="316">
        <f t="shared" ca="1" si="26"/>
        <v>11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2408</v>
      </c>
      <c r="S174" s="316">
        <f t="shared" ca="1" si="26"/>
        <v>11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2408</v>
      </c>
      <c r="S175" s="316">
        <f t="shared" ca="1" si="26"/>
        <v>11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2408</v>
      </c>
      <c r="S176" s="316">
        <f t="shared" ca="1" si="26"/>
        <v>11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2408</v>
      </c>
      <c r="S177" s="316">
        <f t="shared" ca="1" si="26"/>
        <v>11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2408</v>
      </c>
      <c r="S178" s="316">
        <f t="shared" ca="1" si="26"/>
        <v>11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2408</v>
      </c>
      <c r="S179" s="316">
        <f t="shared" ca="1" si="26"/>
        <v>11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2408</v>
      </c>
      <c r="S180" s="316">
        <f t="shared" ca="1" si="26"/>
        <v>11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2408</v>
      </c>
      <c r="S181" s="316">
        <f t="shared" ca="1" si="26"/>
        <v>11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2408</v>
      </c>
      <c r="S182" s="316">
        <f t="shared" ca="1" si="26"/>
        <v>11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2408</v>
      </c>
      <c r="S183" s="316">
        <f t="shared" ca="1" si="26"/>
        <v>11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2408</v>
      </c>
      <c r="S184" s="316">
        <f t="shared" ca="1" si="26"/>
        <v>11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2408</v>
      </c>
      <c r="S185" s="316">
        <f t="shared" ca="1" si="26"/>
        <v>11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2408</v>
      </c>
      <c r="S186" s="316">
        <f t="shared" ca="1" si="26"/>
        <v>11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2408</v>
      </c>
      <c r="S187" s="316">
        <f t="shared" ca="1" si="26"/>
        <v>11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2360</v>
      </c>
      <c r="S188" s="316">
        <f t="shared" ca="1" si="26"/>
        <v>16</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2408</v>
      </c>
      <c r="S189" s="316">
        <f t="shared" ca="1" si="26"/>
        <v>11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2408</v>
      </c>
      <c r="S190" s="316">
        <f t="shared" ca="1" si="26"/>
        <v>11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2360</v>
      </c>
      <c r="S191" s="316">
        <f t="shared" ca="1" si="26"/>
        <v>16</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2408</v>
      </c>
      <c r="S192" s="316">
        <f t="shared" ca="1" si="26"/>
        <v>11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2360</v>
      </c>
      <c r="S193" s="316">
        <f t="shared" ca="1" si="26"/>
        <v>16</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2408</v>
      </c>
      <c r="S194" s="316">
        <f t="shared" ca="1" si="26"/>
        <v>11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2408</v>
      </c>
      <c r="S195" s="316">
        <f t="shared" ca="1" si="26"/>
        <v>11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2408</v>
      </c>
      <c r="S196" s="316">
        <f t="shared" ca="1" si="26"/>
        <v>11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2408</v>
      </c>
      <c r="S197" s="316">
        <f t="shared" ca="1" si="26"/>
        <v>11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2408</v>
      </c>
      <c r="S200" s="316">
        <f t="shared" ca="1" si="26"/>
        <v>10</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2408</v>
      </c>
      <c r="S201" s="316">
        <f t="shared" ca="1" si="26"/>
        <v>10</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2408</v>
      </c>
      <c r="S202" s="316">
        <f t="shared" ca="1" si="26"/>
        <v>10</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2360</v>
      </c>
      <c r="S203" s="316">
        <f t="shared" ca="1" si="26"/>
        <v>16</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2408</v>
      </c>
      <c r="S204" s="316">
        <f t="shared" ca="1" si="26"/>
        <v>10</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2408</v>
      </c>
      <c r="S205" s="316">
        <f t="shared" ca="1" si="26"/>
        <v>10</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2408</v>
      </c>
      <c r="S206" s="316">
        <f t="shared" ca="1" si="26"/>
        <v>10</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2408</v>
      </c>
      <c r="S207" s="316">
        <f t="shared" ca="1" si="26"/>
        <v>10</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2408</v>
      </c>
      <c r="S208" s="316">
        <f t="shared" ca="1" si="26"/>
        <v>10</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2408</v>
      </c>
      <c r="S209" s="316">
        <f t="shared" ca="1" si="26"/>
        <v>10</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2408</v>
      </c>
      <c r="S210" s="316">
        <f t="shared" ca="1" si="26"/>
        <v>10</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2408</v>
      </c>
      <c r="S211" s="316">
        <f t="shared" ca="1" si="26"/>
        <v>10</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2408</v>
      </c>
      <c r="S212" s="316">
        <f t="shared" ca="1" si="26"/>
        <v>10</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2408</v>
      </c>
      <c r="S213" s="316">
        <f t="shared" ca="1" si="26"/>
        <v>10</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2408</v>
      </c>
      <c r="S214" s="316">
        <f t="shared" ca="1" si="26"/>
        <v>10</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2408</v>
      </c>
      <c r="S215" s="316">
        <f t="shared" ca="1" si="26"/>
        <v>10</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2408</v>
      </c>
      <c r="S216" s="316">
        <f t="shared" ref="S216:S279" ca="1" si="36">ROUND(R216*B216/10000,0)</f>
        <v>10</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2408</v>
      </c>
      <c r="S217" s="316">
        <f t="shared" ca="1" si="36"/>
        <v>10</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2408</v>
      </c>
      <c r="S218" s="316">
        <f t="shared" ca="1" si="36"/>
        <v>10</v>
      </c>
      <c r="T218" s="720" t="e">
        <f>'商办车库-新'!#REF!</f>
        <v>#REF!</v>
      </c>
      <c r="U218" s="3532" t="s">
        <v>4196</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2408</v>
      </c>
      <c r="S219" s="316">
        <f t="shared" ca="1" si="36"/>
        <v>10</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2408</v>
      </c>
      <c r="S220" s="316">
        <f t="shared" ca="1" si="36"/>
        <v>10</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2408</v>
      </c>
      <c r="S221" s="316">
        <f t="shared" ca="1" si="36"/>
        <v>10</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2408</v>
      </c>
      <c r="S222" s="316">
        <f t="shared" ca="1" si="36"/>
        <v>10</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2408</v>
      </c>
      <c r="S223" s="316">
        <f t="shared" ca="1" si="36"/>
        <v>10</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2408</v>
      </c>
      <c r="S224" s="316">
        <f t="shared" ca="1" si="36"/>
        <v>10</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2408</v>
      </c>
      <c r="S225" s="316">
        <f t="shared" ca="1" si="36"/>
        <v>10</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2408</v>
      </c>
      <c r="S226" s="316">
        <f t="shared" ca="1" si="36"/>
        <v>10</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2408</v>
      </c>
      <c r="S227" s="316">
        <f t="shared" ca="1" si="36"/>
        <v>19</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2408</v>
      </c>
      <c r="S228" s="316">
        <f t="shared" ca="1" si="36"/>
        <v>10</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2408</v>
      </c>
      <c r="S229" s="316">
        <f t="shared" ca="1" si="36"/>
        <v>10</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2408</v>
      </c>
      <c r="S230" s="316">
        <f t="shared" ca="1" si="36"/>
        <v>10</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2408</v>
      </c>
      <c r="S231" s="316">
        <f t="shared" ca="1" si="36"/>
        <v>10</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2360</v>
      </c>
      <c r="S232" s="316">
        <f t="shared" ca="1" si="36"/>
        <v>16</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2408</v>
      </c>
      <c r="S233" s="316">
        <f t="shared" ca="1" si="36"/>
        <v>10</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2408</v>
      </c>
      <c r="S234" s="316">
        <f t="shared" ca="1" si="36"/>
        <v>10</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2408</v>
      </c>
      <c r="S235" s="316">
        <f t="shared" ca="1" si="36"/>
        <v>10</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2408</v>
      </c>
      <c r="S236" s="316">
        <f t="shared" ca="1" si="36"/>
        <v>10</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2408</v>
      </c>
      <c r="S237" s="316">
        <f t="shared" ca="1" si="36"/>
        <v>19</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2408</v>
      </c>
      <c r="S238" s="316">
        <f t="shared" ca="1" si="36"/>
        <v>19</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2408</v>
      </c>
      <c r="S239" s="316">
        <f t="shared" ca="1" si="36"/>
        <v>19</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2408</v>
      </c>
      <c r="S240" s="316">
        <f t="shared" ca="1" si="36"/>
        <v>19</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2408</v>
      </c>
      <c r="S241" s="316">
        <f t="shared" ca="1" si="36"/>
        <v>19</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2408</v>
      </c>
      <c r="S242" s="316">
        <f t="shared" ca="1" si="36"/>
        <v>10</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2408</v>
      </c>
      <c r="S243" s="316">
        <f t="shared" ca="1" si="36"/>
        <v>10</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2408</v>
      </c>
      <c r="S244" s="316">
        <f t="shared" ca="1" si="36"/>
        <v>10</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2408</v>
      </c>
      <c r="S245" s="316">
        <f t="shared" ca="1" si="36"/>
        <v>10</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2408</v>
      </c>
      <c r="S246" s="316">
        <f t="shared" ca="1" si="36"/>
        <v>10</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2408</v>
      </c>
      <c r="S247" s="316">
        <f t="shared" ca="1" si="36"/>
        <v>10</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2408</v>
      </c>
      <c r="S248" s="316">
        <f t="shared" ca="1" si="36"/>
        <v>10</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2408</v>
      </c>
      <c r="S249" s="316">
        <f t="shared" ca="1" si="36"/>
        <v>10</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2408</v>
      </c>
      <c r="S250" s="316">
        <f t="shared" ca="1" si="36"/>
        <v>10</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2408</v>
      </c>
      <c r="S251" s="316">
        <f t="shared" ca="1" si="36"/>
        <v>10</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2408</v>
      </c>
      <c r="S252" s="316">
        <f t="shared" ca="1" si="36"/>
        <v>10</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2408</v>
      </c>
      <c r="S253" s="316">
        <f t="shared" ca="1" si="36"/>
        <v>10</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2408</v>
      </c>
      <c r="S254" s="316">
        <f t="shared" ca="1" si="36"/>
        <v>10</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2408</v>
      </c>
      <c r="S255" s="316">
        <f t="shared" ca="1" si="36"/>
        <v>10</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2408</v>
      </c>
      <c r="S256" s="316">
        <f t="shared" ca="1" si="36"/>
        <v>10</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2408</v>
      </c>
      <c r="S257" s="316">
        <f t="shared" ca="1" si="36"/>
        <v>10</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2408</v>
      </c>
      <c r="S258" s="316">
        <f t="shared" ca="1" si="36"/>
        <v>10</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2408</v>
      </c>
      <c r="S259" s="316">
        <f t="shared" ca="1" si="36"/>
        <v>10</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2408</v>
      </c>
      <c r="S260" s="316">
        <f t="shared" ca="1" si="36"/>
        <v>10</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2408</v>
      </c>
      <c r="S261" s="316">
        <f t="shared" ca="1" si="36"/>
        <v>10</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2408</v>
      </c>
      <c r="S262" s="316">
        <f t="shared" ca="1" si="36"/>
        <v>10</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2408</v>
      </c>
      <c r="S263" s="316">
        <f t="shared" ca="1" si="36"/>
        <v>10</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2408</v>
      </c>
      <c r="S264" s="316">
        <f t="shared" ca="1" si="36"/>
        <v>10</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2360</v>
      </c>
      <c r="S265" s="316">
        <f t="shared" ca="1" si="36"/>
        <v>16</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2360</v>
      </c>
      <c r="S266" s="316">
        <f t="shared" ca="1" si="36"/>
        <v>16</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2408</v>
      </c>
      <c r="S267" s="316">
        <f t="shared" ca="1" si="36"/>
        <v>10</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2408</v>
      </c>
      <c r="S268" s="316">
        <f t="shared" ca="1" si="36"/>
        <v>10</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2408</v>
      </c>
      <c r="S269" s="3537">
        <f t="shared" ca="1" si="36"/>
        <v>10</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2408</v>
      </c>
      <c r="S270" s="316">
        <f t="shared" ca="1" si="36"/>
        <v>10</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2408</v>
      </c>
      <c r="S271" s="316">
        <f t="shared" ca="1" si="36"/>
        <v>10</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2408</v>
      </c>
      <c r="S272" s="316">
        <f t="shared" ca="1" si="36"/>
        <v>10</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2408</v>
      </c>
      <c r="S273" s="316">
        <f t="shared" ca="1" si="36"/>
        <v>10</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2408</v>
      </c>
      <c r="S274" s="316">
        <f t="shared" ca="1" si="36"/>
        <v>10</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2408</v>
      </c>
      <c r="S275" s="316">
        <f t="shared" ca="1" si="36"/>
        <v>10</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2408</v>
      </c>
      <c r="S276" s="316">
        <f t="shared" ca="1" si="36"/>
        <v>10</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2408</v>
      </c>
      <c r="S277" s="316">
        <f t="shared" ca="1" si="36"/>
        <v>10</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2408</v>
      </c>
      <c r="S278" s="316">
        <f t="shared" ca="1" si="36"/>
        <v>19</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2408</v>
      </c>
      <c r="S279" s="316">
        <f t="shared" ca="1" si="36"/>
        <v>19</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2408</v>
      </c>
      <c r="S280" s="316">
        <f t="shared" ref="S280:S343" ca="1" si="46">ROUND(R280*B280/10000,0)</f>
        <v>10</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2408</v>
      </c>
      <c r="S281" s="316">
        <f t="shared" ca="1" si="46"/>
        <v>19</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2408</v>
      </c>
      <c r="S282" s="316">
        <f t="shared" ca="1" si="46"/>
        <v>19</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2408</v>
      </c>
      <c r="S283" s="316">
        <f t="shared" ca="1" si="46"/>
        <v>19</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2408</v>
      </c>
      <c r="S284" s="316">
        <f t="shared" ca="1" si="46"/>
        <v>19</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2408</v>
      </c>
      <c r="S285" s="316">
        <f t="shared" ca="1" si="46"/>
        <v>10</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2408</v>
      </c>
      <c r="S286" s="316">
        <f t="shared" ca="1" si="46"/>
        <v>10</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2360</v>
      </c>
      <c r="S287" s="316">
        <f t="shared" ca="1" si="46"/>
        <v>16</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2408</v>
      </c>
      <c r="S288" s="316">
        <f t="shared" ca="1" si="46"/>
        <v>10</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2408</v>
      </c>
      <c r="S289" s="316">
        <f t="shared" ca="1" si="46"/>
        <v>10</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2408</v>
      </c>
      <c r="S290" s="316">
        <f t="shared" ca="1" si="46"/>
        <v>10</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2408</v>
      </c>
      <c r="S291" s="316">
        <f t="shared" ca="1" si="46"/>
        <v>10</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2408</v>
      </c>
      <c r="S292" s="316">
        <f t="shared" ca="1" si="46"/>
        <v>10</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2408</v>
      </c>
      <c r="S293" s="316">
        <f t="shared" ca="1" si="46"/>
        <v>10</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2408</v>
      </c>
      <c r="S294" s="316">
        <f t="shared" ca="1" si="46"/>
        <v>19</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2408</v>
      </c>
      <c r="S295" s="316">
        <f t="shared" ca="1" si="46"/>
        <v>19</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2408</v>
      </c>
      <c r="S296" s="316">
        <f t="shared" ca="1" si="46"/>
        <v>19</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2408</v>
      </c>
      <c r="S297" s="316">
        <f t="shared" ca="1" si="46"/>
        <v>10</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2408</v>
      </c>
      <c r="S298" s="316">
        <f t="shared" ca="1" si="46"/>
        <v>10</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2408</v>
      </c>
      <c r="S299" s="316">
        <f t="shared" ca="1" si="46"/>
        <v>10</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2408</v>
      </c>
      <c r="S300" s="316">
        <f t="shared" ca="1" si="46"/>
        <v>10</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2408</v>
      </c>
      <c r="S301" s="316">
        <f t="shared" ca="1" si="46"/>
        <v>10</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2408</v>
      </c>
      <c r="S302" s="316">
        <f t="shared" ca="1" si="46"/>
        <v>10</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2408</v>
      </c>
      <c r="S303" s="316">
        <f t="shared" ca="1" si="46"/>
        <v>10</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2408</v>
      </c>
      <c r="S304" s="316">
        <f t="shared" ca="1" si="46"/>
        <v>10</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2408</v>
      </c>
      <c r="S305" s="316">
        <f t="shared" ca="1" si="46"/>
        <v>10</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2408</v>
      </c>
      <c r="S306" s="316">
        <f t="shared" ca="1" si="46"/>
        <v>10</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2408</v>
      </c>
      <c r="S307" s="316">
        <f t="shared" ca="1" si="46"/>
        <v>10</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2408</v>
      </c>
      <c r="S308" s="316">
        <f t="shared" ca="1" si="46"/>
        <v>10</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2408</v>
      </c>
      <c r="S309" s="316">
        <f t="shared" ca="1" si="46"/>
        <v>10</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2408</v>
      </c>
      <c r="S310" s="316">
        <f t="shared" ca="1" si="46"/>
        <v>10</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2408</v>
      </c>
      <c r="S311" s="316">
        <f t="shared" ca="1" si="46"/>
        <v>10</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2408</v>
      </c>
      <c r="S312" s="316">
        <f t="shared" ca="1" si="46"/>
        <v>10</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2408</v>
      </c>
      <c r="S313" s="316">
        <f t="shared" ca="1" si="46"/>
        <v>10</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2408</v>
      </c>
      <c r="S314" s="316">
        <f t="shared" ca="1" si="46"/>
        <v>10</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2408</v>
      </c>
      <c r="S315" s="316">
        <f t="shared" ca="1" si="46"/>
        <v>10</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2408</v>
      </c>
      <c r="S316" s="316">
        <f t="shared" ca="1" si="46"/>
        <v>10</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2408</v>
      </c>
      <c r="S317" s="316">
        <f t="shared" ca="1" si="46"/>
        <v>10</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2408</v>
      </c>
      <c r="S318" s="316">
        <f t="shared" ca="1" si="46"/>
        <v>10</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2408</v>
      </c>
      <c r="S319" s="316">
        <f t="shared" ca="1" si="46"/>
        <v>10</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2408</v>
      </c>
      <c r="S320" s="316">
        <f t="shared" ca="1" si="46"/>
        <v>10</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2408</v>
      </c>
      <c r="S321" s="316">
        <f t="shared" ca="1" si="46"/>
        <v>10</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2408</v>
      </c>
      <c r="S322" s="316">
        <f t="shared" ca="1" si="46"/>
        <v>10</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2408</v>
      </c>
      <c r="S323" s="316">
        <f t="shared" ca="1" si="46"/>
        <v>10</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2408</v>
      </c>
      <c r="S324" s="316">
        <f t="shared" ca="1" si="46"/>
        <v>10</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2408</v>
      </c>
      <c r="S325" s="316">
        <f t="shared" ca="1" si="46"/>
        <v>10</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2408</v>
      </c>
      <c r="S326" s="316">
        <f t="shared" ca="1" si="46"/>
        <v>10</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2408</v>
      </c>
      <c r="S327" s="316">
        <f t="shared" ca="1" si="46"/>
        <v>10</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2408</v>
      </c>
      <c r="S328" s="316">
        <f t="shared" ca="1" si="46"/>
        <v>10</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2408</v>
      </c>
      <c r="S329" s="316">
        <f t="shared" ca="1" si="46"/>
        <v>10</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2408</v>
      </c>
      <c r="S330" s="316">
        <f t="shared" ca="1" si="46"/>
        <v>10</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2408</v>
      </c>
      <c r="S331" s="316">
        <f t="shared" ca="1" si="46"/>
        <v>10</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2408</v>
      </c>
      <c r="S332" s="316">
        <f t="shared" ca="1" si="46"/>
        <v>10</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2408</v>
      </c>
      <c r="S333" s="316">
        <f t="shared" ca="1" si="46"/>
        <v>19</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2408</v>
      </c>
      <c r="S334" s="316">
        <f t="shared" ca="1" si="46"/>
        <v>19</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2288</v>
      </c>
      <c r="S335" s="316">
        <f t="shared" ca="1" si="46"/>
        <v>9</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2288</v>
      </c>
      <c r="S336" s="316">
        <f t="shared" ca="1" si="46"/>
        <v>9</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2288</v>
      </c>
      <c r="S337" s="316">
        <f t="shared" ca="1" si="46"/>
        <v>9</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2288</v>
      </c>
      <c r="S338" s="316">
        <f t="shared" ca="1" si="46"/>
        <v>9</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2288</v>
      </c>
      <c r="S339" s="316">
        <f t="shared" ca="1" si="46"/>
        <v>9</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2288</v>
      </c>
      <c r="S340" s="316">
        <f t="shared" ca="1" si="46"/>
        <v>9</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2288</v>
      </c>
      <c r="S341" s="316">
        <f t="shared" ca="1" si="46"/>
        <v>9</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2288</v>
      </c>
      <c r="S342" s="316">
        <f t="shared" ca="1" si="46"/>
        <v>9</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2288</v>
      </c>
      <c r="S343" s="316">
        <f t="shared" ca="1" si="46"/>
        <v>9</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2288</v>
      </c>
      <c r="S344" s="316">
        <f t="shared" ref="S344:S407" ca="1" si="56">ROUND(R344*B344/10000,0)</f>
        <v>9</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2288</v>
      </c>
      <c r="S345" s="316">
        <f t="shared" ca="1" si="56"/>
        <v>9</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2288</v>
      </c>
      <c r="S346" s="316">
        <f t="shared" ca="1" si="56"/>
        <v>9</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2288</v>
      </c>
      <c r="S347" s="316">
        <f t="shared" ca="1" si="56"/>
        <v>9</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2288</v>
      </c>
      <c r="S348" s="316">
        <f t="shared" ca="1" si="56"/>
        <v>9</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2288</v>
      </c>
      <c r="S349" s="316">
        <f t="shared" ca="1" si="56"/>
        <v>9</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2288</v>
      </c>
      <c r="S350" s="316">
        <f t="shared" ca="1" si="56"/>
        <v>9</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2288</v>
      </c>
      <c r="S351" s="316">
        <f t="shared" ca="1" si="56"/>
        <v>9</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2288</v>
      </c>
      <c r="S352" s="316">
        <f t="shared" ca="1" si="56"/>
        <v>9</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2288</v>
      </c>
      <c r="S353" s="316">
        <f t="shared" ca="1" si="56"/>
        <v>9</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2288</v>
      </c>
      <c r="S354" s="316">
        <f t="shared" ca="1" si="56"/>
        <v>9</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2288</v>
      </c>
      <c r="S355" s="316">
        <f t="shared" ca="1" si="56"/>
        <v>9</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2288</v>
      </c>
      <c r="S356" s="316">
        <f t="shared" ca="1" si="56"/>
        <v>9</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2288</v>
      </c>
      <c r="S357" s="316">
        <f t="shared" ca="1" si="56"/>
        <v>9</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2288</v>
      </c>
      <c r="S358" s="316">
        <f t="shared" ca="1" si="56"/>
        <v>9</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2288</v>
      </c>
      <c r="S359" s="316">
        <f t="shared" ca="1" si="56"/>
        <v>9</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2288</v>
      </c>
      <c r="S360" s="316">
        <f t="shared" ca="1" si="56"/>
        <v>19</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2288</v>
      </c>
      <c r="S361" s="316">
        <f t="shared" ca="1" si="56"/>
        <v>19</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2288</v>
      </c>
      <c r="S362" s="316">
        <f t="shared" ca="1" si="56"/>
        <v>19</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2288</v>
      </c>
      <c r="S363" s="316">
        <f t="shared" ca="1" si="56"/>
        <v>19</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2288</v>
      </c>
      <c r="S364" s="316">
        <f t="shared" ca="1" si="56"/>
        <v>19</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2242</v>
      </c>
      <c r="S365" s="316">
        <f t="shared" ca="1" si="56"/>
        <v>15</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2288</v>
      </c>
      <c r="S366" s="316">
        <f t="shared" ca="1" si="56"/>
        <v>9</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2288</v>
      </c>
      <c r="S367" s="316">
        <f t="shared" ca="1" si="56"/>
        <v>19</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2288</v>
      </c>
      <c r="S368" s="316">
        <f t="shared" ca="1" si="56"/>
        <v>19</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2288</v>
      </c>
      <c r="S369" s="316">
        <f t="shared" ca="1" si="56"/>
        <v>9</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2288</v>
      </c>
      <c r="S370" s="316">
        <f t="shared" ca="1" si="56"/>
        <v>9</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2288</v>
      </c>
      <c r="S371" s="316">
        <f t="shared" ca="1" si="56"/>
        <v>9</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2288</v>
      </c>
      <c r="S372" s="316">
        <f t="shared" ca="1" si="56"/>
        <v>9</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2288</v>
      </c>
      <c r="S373" s="316">
        <f t="shared" ca="1" si="56"/>
        <v>9</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2288</v>
      </c>
      <c r="S374" s="316">
        <f t="shared" ca="1" si="56"/>
        <v>9</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2288</v>
      </c>
      <c r="S375" s="316">
        <f t="shared" ca="1" si="56"/>
        <v>9</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2288</v>
      </c>
      <c r="S376" s="316">
        <f t="shared" ca="1" si="56"/>
        <v>9</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2288</v>
      </c>
      <c r="S377" s="316">
        <f t="shared" ca="1" si="56"/>
        <v>9</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2288</v>
      </c>
      <c r="S378" s="316">
        <f t="shared" ca="1" si="56"/>
        <v>9</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2288</v>
      </c>
      <c r="S379" s="316">
        <f t="shared" ca="1" si="56"/>
        <v>9</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2288</v>
      </c>
      <c r="S380" s="316">
        <f t="shared" ca="1" si="56"/>
        <v>9</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2288</v>
      </c>
      <c r="S381" s="316">
        <f t="shared" ca="1" si="56"/>
        <v>9</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2288</v>
      </c>
      <c r="S382" s="316">
        <f t="shared" ca="1" si="56"/>
        <v>9</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2288</v>
      </c>
      <c r="S383" s="316">
        <f t="shared" ca="1" si="56"/>
        <v>9</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2288</v>
      </c>
      <c r="S384" s="316">
        <f t="shared" ca="1" si="56"/>
        <v>9</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2288</v>
      </c>
      <c r="S385" s="316">
        <f t="shared" ca="1" si="56"/>
        <v>9</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2288</v>
      </c>
      <c r="S386" s="316">
        <f t="shared" ca="1" si="56"/>
        <v>9</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2288</v>
      </c>
      <c r="S387" s="316">
        <f t="shared" ca="1" si="56"/>
        <v>9</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2288</v>
      </c>
      <c r="S388" s="316">
        <f t="shared" ca="1" si="56"/>
        <v>9</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2288</v>
      </c>
      <c r="S389" s="316">
        <f t="shared" ca="1" si="56"/>
        <v>9</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2288</v>
      </c>
      <c r="S390" s="316">
        <f t="shared" ca="1" si="56"/>
        <v>9</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2288</v>
      </c>
      <c r="S391" s="316">
        <f t="shared" ca="1" si="56"/>
        <v>9</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2288</v>
      </c>
      <c r="S392" s="316">
        <f t="shared" ca="1" si="56"/>
        <v>9</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2288</v>
      </c>
      <c r="S393" s="316">
        <f t="shared" ca="1" si="56"/>
        <v>9</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2288</v>
      </c>
      <c r="S394" s="316">
        <f t="shared" ca="1" si="56"/>
        <v>9</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2288</v>
      </c>
      <c r="S395" s="316">
        <f t="shared" ca="1" si="56"/>
        <v>9</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2288</v>
      </c>
      <c r="S396" s="316">
        <f t="shared" ca="1" si="56"/>
        <v>9</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2288</v>
      </c>
      <c r="S397" s="316">
        <f t="shared" ca="1" si="56"/>
        <v>9</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2288</v>
      </c>
      <c r="S398" s="316">
        <f t="shared" ca="1" si="56"/>
        <v>9</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2288</v>
      </c>
      <c r="S399" s="316">
        <f t="shared" ca="1" si="56"/>
        <v>9</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2288</v>
      </c>
      <c r="S400" s="316">
        <f t="shared" ca="1" si="56"/>
        <v>9</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2288</v>
      </c>
      <c r="S401" s="316">
        <f t="shared" ca="1" si="56"/>
        <v>9</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2288</v>
      </c>
      <c r="S402" s="316">
        <f t="shared" ca="1" si="56"/>
        <v>9</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2288</v>
      </c>
      <c r="S403" s="316">
        <f t="shared" ca="1" si="56"/>
        <v>9</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2288</v>
      </c>
      <c r="S404" s="316">
        <f t="shared" ca="1" si="56"/>
        <v>9</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2288</v>
      </c>
      <c r="S405" s="316">
        <f t="shared" ca="1" si="56"/>
        <v>9</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2288</v>
      </c>
      <c r="S406" s="316">
        <f t="shared" ca="1" si="56"/>
        <v>9</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2288</v>
      </c>
      <c r="S407" s="316">
        <f t="shared" ca="1" si="56"/>
        <v>9</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2288</v>
      </c>
      <c r="S408" s="316">
        <f t="shared" ref="S408:S471" ca="1" si="66">ROUND(R408*B408/10000,0)</f>
        <v>9</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2288</v>
      </c>
      <c r="S409" s="316">
        <f t="shared" ca="1" si="66"/>
        <v>9</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2288</v>
      </c>
      <c r="S410" s="316">
        <f t="shared" ca="1" si="66"/>
        <v>9</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2288</v>
      </c>
      <c r="S411" s="316">
        <f t="shared" ca="1" si="66"/>
        <v>9</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2288</v>
      </c>
      <c r="S412" s="316">
        <f t="shared" ca="1" si="66"/>
        <v>9</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2288</v>
      </c>
      <c r="S413" s="316">
        <f t="shared" ca="1" si="66"/>
        <v>9</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2288</v>
      </c>
      <c r="S414" s="316">
        <f t="shared" ca="1" si="66"/>
        <v>9</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2288</v>
      </c>
      <c r="S415" s="316">
        <f t="shared" ca="1" si="66"/>
        <v>9</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2288</v>
      </c>
      <c r="S416" s="316">
        <f t="shared" ca="1" si="66"/>
        <v>9</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2288</v>
      </c>
      <c r="S417" s="316">
        <f t="shared" ca="1" si="66"/>
        <v>9</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2288</v>
      </c>
      <c r="S418" s="316">
        <f t="shared" ca="1" si="66"/>
        <v>9</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2288</v>
      </c>
      <c r="S419" s="316">
        <f t="shared" ca="1" si="66"/>
        <v>9</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2288</v>
      </c>
      <c r="S420" s="316">
        <f t="shared" ca="1" si="66"/>
        <v>9</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2288</v>
      </c>
      <c r="S421" s="316">
        <f t="shared" ca="1" si="66"/>
        <v>9</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2288</v>
      </c>
      <c r="S422" s="316">
        <f t="shared" ca="1" si="66"/>
        <v>9</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2288</v>
      </c>
      <c r="S423" s="316">
        <f t="shared" ca="1" si="66"/>
        <v>9</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2288</v>
      </c>
      <c r="S424" s="316">
        <f t="shared" ca="1" si="66"/>
        <v>9</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2288</v>
      </c>
      <c r="S425" s="316">
        <f t="shared" ca="1" si="66"/>
        <v>9</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2288</v>
      </c>
      <c r="S426" s="316">
        <f t="shared" ca="1" si="66"/>
        <v>9</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2288</v>
      </c>
      <c r="S427" s="316">
        <f t="shared" ca="1" si="66"/>
        <v>9</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2288</v>
      </c>
      <c r="S428" s="316">
        <f t="shared" ca="1" si="66"/>
        <v>9</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2288</v>
      </c>
      <c r="S429" s="316">
        <f t="shared" ca="1" si="66"/>
        <v>9</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2288</v>
      </c>
      <c r="S430" s="316">
        <f t="shared" ca="1" si="66"/>
        <v>9</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2288</v>
      </c>
      <c r="S431" s="316">
        <f t="shared" ca="1" si="66"/>
        <v>9</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2288</v>
      </c>
      <c r="S432" s="316">
        <f t="shared" ca="1" si="66"/>
        <v>9</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2288</v>
      </c>
      <c r="S433" s="316">
        <f t="shared" ca="1" si="66"/>
        <v>9</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2288</v>
      </c>
      <c r="S434" s="316">
        <f t="shared" ca="1" si="66"/>
        <v>9</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2288</v>
      </c>
      <c r="S435" s="316">
        <f t="shared" ca="1" si="66"/>
        <v>9</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2288</v>
      </c>
      <c r="S436" s="316">
        <f t="shared" ca="1" si="66"/>
        <v>9</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2288</v>
      </c>
      <c r="S437" s="316">
        <f t="shared" ca="1" si="66"/>
        <v>9</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2288</v>
      </c>
      <c r="S438" s="316">
        <f t="shared" ca="1" si="66"/>
        <v>9</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2288</v>
      </c>
      <c r="S439" s="316">
        <f t="shared" ca="1" si="66"/>
        <v>9</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2288</v>
      </c>
      <c r="S440" s="316">
        <f t="shared" ca="1" si="66"/>
        <v>9</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2288</v>
      </c>
      <c r="S441" s="316">
        <f t="shared" ca="1" si="66"/>
        <v>9</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2288</v>
      </c>
      <c r="S442" s="316">
        <f t="shared" ca="1" si="66"/>
        <v>9</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2288</v>
      </c>
      <c r="S443" s="316">
        <f t="shared" ca="1" si="66"/>
        <v>9</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2288</v>
      </c>
      <c r="S444" s="316">
        <f t="shared" ca="1" si="66"/>
        <v>9</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2288</v>
      </c>
      <c r="S445" s="316">
        <f t="shared" ca="1" si="66"/>
        <v>9</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2288</v>
      </c>
      <c r="S446" s="316">
        <f t="shared" ca="1" si="66"/>
        <v>9</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2288</v>
      </c>
      <c r="S447" s="316">
        <f t="shared" ca="1" si="66"/>
        <v>9</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2288</v>
      </c>
      <c r="S448" s="316">
        <f t="shared" ca="1" si="66"/>
        <v>9</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2288</v>
      </c>
      <c r="S449" s="316">
        <f t="shared" ca="1" si="66"/>
        <v>9</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2288</v>
      </c>
      <c r="S450" s="316">
        <f t="shared" ca="1" si="66"/>
        <v>9</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2288</v>
      </c>
      <c r="S451" s="316">
        <f t="shared" ca="1" si="66"/>
        <v>9</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2288</v>
      </c>
      <c r="S452" s="316">
        <f t="shared" ca="1" si="66"/>
        <v>9</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2288</v>
      </c>
      <c r="S453" s="316">
        <f t="shared" ca="1" si="66"/>
        <v>9</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2288</v>
      </c>
      <c r="S454" s="316">
        <f t="shared" ca="1" si="66"/>
        <v>9</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2288</v>
      </c>
      <c r="S455" s="316">
        <f t="shared" ca="1" si="66"/>
        <v>9</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2288</v>
      </c>
      <c r="S456" s="316">
        <f t="shared" ca="1" si="66"/>
        <v>9</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2288</v>
      </c>
      <c r="S457" s="316">
        <f t="shared" ca="1" si="66"/>
        <v>9</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2288</v>
      </c>
      <c r="S458" s="316">
        <f t="shared" ca="1" si="66"/>
        <v>9</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2288</v>
      </c>
      <c r="S459" s="316">
        <f t="shared" ca="1" si="66"/>
        <v>9</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2288</v>
      </c>
      <c r="S460" s="316">
        <f t="shared" ca="1" si="66"/>
        <v>9</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2288</v>
      </c>
      <c r="S461" s="316">
        <f t="shared" ca="1" si="66"/>
        <v>9</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2288</v>
      </c>
      <c r="S462" s="316">
        <f t="shared" ca="1" si="66"/>
        <v>9</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2288</v>
      </c>
      <c r="S463" s="316">
        <f t="shared" ca="1" si="66"/>
        <v>9</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2288</v>
      </c>
      <c r="S464" s="316">
        <f t="shared" ca="1" si="66"/>
        <v>9</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2288</v>
      </c>
      <c r="S465" s="316">
        <f t="shared" ca="1" si="66"/>
        <v>9</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2288</v>
      </c>
      <c r="S466" s="316">
        <f t="shared" ca="1" si="66"/>
        <v>9</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2288</v>
      </c>
      <c r="S467" s="316">
        <f t="shared" ca="1" si="66"/>
        <v>9</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2288</v>
      </c>
      <c r="S468" s="316">
        <f t="shared" ca="1" si="66"/>
        <v>9</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2288</v>
      </c>
      <c r="S469" s="316">
        <f t="shared" ca="1" si="66"/>
        <v>9</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2288</v>
      </c>
      <c r="S470" s="316">
        <f t="shared" ca="1" si="66"/>
        <v>9</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2288</v>
      </c>
      <c r="S471" s="316">
        <f t="shared" ca="1" si="66"/>
        <v>9</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2288</v>
      </c>
      <c r="S472" s="316">
        <f t="shared" ref="S472:S524" ca="1" si="76">ROUND(R472*B472/10000,0)</f>
        <v>9</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2288</v>
      </c>
      <c r="S473" s="316">
        <f t="shared" ca="1" si="76"/>
        <v>9</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2288</v>
      </c>
      <c r="S474" s="316">
        <f t="shared" ca="1" si="76"/>
        <v>9</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2288</v>
      </c>
      <c r="S475" s="316">
        <f t="shared" ca="1" si="76"/>
        <v>9</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2288</v>
      </c>
      <c r="S476" s="316">
        <f t="shared" ca="1" si="76"/>
        <v>9</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2288</v>
      </c>
      <c r="S477" s="316">
        <f t="shared" ca="1" si="76"/>
        <v>9</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2288</v>
      </c>
      <c r="S478" s="316">
        <f t="shared" ca="1" si="76"/>
        <v>9</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2288</v>
      </c>
      <c r="S479" s="316">
        <f t="shared" ca="1" si="76"/>
        <v>9</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2288</v>
      </c>
      <c r="S480" s="316">
        <f t="shared" ca="1" si="76"/>
        <v>9</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2288</v>
      </c>
      <c r="S481" s="316">
        <f t="shared" ca="1" si="76"/>
        <v>9</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2288</v>
      </c>
      <c r="S482" s="316">
        <f t="shared" ca="1" si="76"/>
        <v>9</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2288</v>
      </c>
      <c r="S483" s="316">
        <f t="shared" ca="1" si="76"/>
        <v>9</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2288</v>
      </c>
      <c r="S484" s="316">
        <f t="shared" ca="1" si="76"/>
        <v>9</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2288</v>
      </c>
      <c r="S485" s="316">
        <f t="shared" ca="1" si="76"/>
        <v>9</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2288</v>
      </c>
      <c r="S486" s="316">
        <f t="shared" ca="1" si="76"/>
        <v>9</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2288</v>
      </c>
      <c r="S487" s="316">
        <f t="shared" ca="1" si="76"/>
        <v>9</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2288</v>
      </c>
      <c r="S488" s="316">
        <f t="shared" ca="1" si="76"/>
        <v>9</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2288</v>
      </c>
      <c r="S489" s="316">
        <f t="shared" ca="1" si="76"/>
        <v>9</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2288</v>
      </c>
      <c r="S490" s="316">
        <f t="shared" ca="1" si="76"/>
        <v>9</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2288</v>
      </c>
      <c r="S491" s="316">
        <f t="shared" ca="1" si="76"/>
        <v>9</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2288</v>
      </c>
      <c r="S492" s="316">
        <f t="shared" ca="1" si="76"/>
        <v>9</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2288</v>
      </c>
      <c r="S493" s="316">
        <f t="shared" ca="1" si="76"/>
        <v>9</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2288</v>
      </c>
      <c r="S494" s="316">
        <f t="shared" ca="1" si="76"/>
        <v>9</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2288</v>
      </c>
      <c r="S495" s="316">
        <f t="shared" ca="1" si="76"/>
        <v>9</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2288</v>
      </c>
      <c r="S496" s="316">
        <f t="shared" ca="1" si="76"/>
        <v>9</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2288</v>
      </c>
      <c r="S497" s="316">
        <f t="shared" ca="1" si="76"/>
        <v>9</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2288</v>
      </c>
      <c r="S498" s="316">
        <f t="shared" ca="1" si="76"/>
        <v>9</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2288</v>
      </c>
      <c r="S499" s="316">
        <f t="shared" ca="1" si="76"/>
        <v>9</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2288</v>
      </c>
      <c r="S500" s="316">
        <f t="shared" ca="1" si="76"/>
        <v>9</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2288</v>
      </c>
      <c r="S501" s="316">
        <f t="shared" ca="1" si="76"/>
        <v>9</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2288</v>
      </c>
      <c r="S502" s="316">
        <f t="shared" ca="1" si="76"/>
        <v>9</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2288</v>
      </c>
      <c r="S503" s="316">
        <f t="shared" ca="1" si="76"/>
        <v>9</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2288</v>
      </c>
      <c r="S504" s="316">
        <f t="shared" ca="1" si="76"/>
        <v>9</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2288</v>
      </c>
      <c r="S505" s="316">
        <f t="shared" ca="1" si="76"/>
        <v>9</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2288</v>
      </c>
      <c r="S506" s="316">
        <f t="shared" ca="1" si="76"/>
        <v>9</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2288</v>
      </c>
      <c r="S507" s="316">
        <f t="shared" ca="1" si="76"/>
        <v>9</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2288</v>
      </c>
      <c r="S508" s="316">
        <f t="shared" ca="1" si="76"/>
        <v>9</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2288</v>
      </c>
      <c r="S509" s="316">
        <f t="shared" ca="1" si="76"/>
        <v>9</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2288</v>
      </c>
      <c r="S510" s="316">
        <f t="shared" ca="1" si="76"/>
        <v>9</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2288</v>
      </c>
      <c r="S511" s="316">
        <f t="shared" ca="1" si="76"/>
        <v>9</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2288</v>
      </c>
      <c r="S512" s="316">
        <f t="shared" ca="1" si="76"/>
        <v>9</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2288</v>
      </c>
      <c r="S513" s="316">
        <f t="shared" ca="1" si="76"/>
        <v>9</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2288</v>
      </c>
      <c r="S514" s="316">
        <f t="shared" ca="1" si="76"/>
        <v>9</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2288</v>
      </c>
      <c r="S515" s="316">
        <f t="shared" ca="1" si="76"/>
        <v>9</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2288</v>
      </c>
      <c r="S516" s="316">
        <f t="shared" ca="1" si="76"/>
        <v>9</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2288</v>
      </c>
      <c r="S517" s="316">
        <f t="shared" ca="1" si="76"/>
        <v>9</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2288</v>
      </c>
      <c r="S518" s="316">
        <f t="shared" ca="1" si="76"/>
        <v>9</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2288</v>
      </c>
      <c r="S519" s="316">
        <f t="shared" ca="1" si="76"/>
        <v>9</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2288</v>
      </c>
      <c r="S520" s="316">
        <f t="shared" ca="1" si="76"/>
        <v>9</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2288</v>
      </c>
      <c r="S521" s="316">
        <f t="shared" ca="1" si="76"/>
        <v>9</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2288</v>
      </c>
      <c r="S522" s="316">
        <f t="shared" ca="1" si="76"/>
        <v>9</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2288</v>
      </c>
      <c r="S523" s="316">
        <f t="shared" ca="1" si="76"/>
        <v>9</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2288</v>
      </c>
      <c r="S524" s="316">
        <f t="shared" ca="1" si="76"/>
        <v>9</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2288</v>
      </c>
      <c r="S525" s="316">
        <f t="shared" ref="S525:S541" ca="1" si="94">ROUND(R525*B525/10000,0)</f>
        <v>9</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2288</v>
      </c>
      <c r="S526" s="316">
        <f t="shared" ca="1" si="94"/>
        <v>9</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2288</v>
      </c>
      <c r="S527" s="316">
        <f t="shared" ca="1" si="94"/>
        <v>9</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2288</v>
      </c>
      <c r="S528" s="316">
        <f t="shared" ca="1" si="94"/>
        <v>9</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2288</v>
      </c>
      <c r="S529" s="316">
        <f t="shared" ca="1" si="94"/>
        <v>9</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2288</v>
      </c>
      <c r="S530" s="316">
        <f t="shared" ca="1" si="94"/>
        <v>9</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2288</v>
      </c>
      <c r="S531" s="316">
        <f t="shared" ca="1" si="94"/>
        <v>9</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2288</v>
      </c>
      <c r="S532" s="316">
        <f t="shared" ca="1" si="94"/>
        <v>9</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2288</v>
      </c>
      <c r="S533" s="316">
        <f t="shared" ca="1" si="94"/>
        <v>9</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2288</v>
      </c>
      <c r="S534" s="316">
        <f t="shared" ca="1" si="94"/>
        <v>9</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2288</v>
      </c>
      <c r="S535" s="316">
        <f t="shared" ca="1" si="94"/>
        <v>9</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2288</v>
      </c>
      <c r="S536" s="316">
        <f t="shared" ca="1" si="94"/>
        <v>9</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2288</v>
      </c>
      <c r="S537" s="316">
        <f t="shared" ca="1" si="94"/>
        <v>9</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2288</v>
      </c>
      <c r="S538" s="316">
        <f t="shared" ca="1" si="94"/>
        <v>19</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2288</v>
      </c>
      <c r="S539" s="316">
        <f t="shared" ca="1" si="94"/>
        <v>19</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2288</v>
      </c>
      <c r="S540" s="316">
        <f t="shared" ca="1" si="94"/>
        <v>19</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2288</v>
      </c>
      <c r="S541" s="316">
        <f t="shared" ca="1" si="94"/>
        <v>19</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2288</v>
      </c>
      <c r="S542" s="316">
        <f t="shared" ref="S542:S605" ca="1" si="103">ROUND(R542*B542/10000,0)</f>
        <v>19</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2288</v>
      </c>
      <c r="S543" s="316">
        <f t="shared" ca="1" si="103"/>
        <v>9</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2288</v>
      </c>
      <c r="S544" s="316">
        <f t="shared" ca="1" si="103"/>
        <v>9</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2288</v>
      </c>
      <c r="S545" s="316">
        <f t="shared" ca="1" si="103"/>
        <v>9</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2288</v>
      </c>
      <c r="S546" s="316">
        <f t="shared" ca="1" si="103"/>
        <v>9</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2288</v>
      </c>
      <c r="S547" s="316">
        <f t="shared" ca="1" si="103"/>
        <v>9</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2288</v>
      </c>
      <c r="S548" s="316">
        <f t="shared" ca="1" si="103"/>
        <v>9</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2288</v>
      </c>
      <c r="S549" s="316">
        <f t="shared" ca="1" si="103"/>
        <v>19</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2288</v>
      </c>
      <c r="S550" s="316">
        <f t="shared" ca="1" si="103"/>
        <v>19</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2288</v>
      </c>
      <c r="S551" s="316">
        <f t="shared" ca="1" si="103"/>
        <v>9</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2288</v>
      </c>
      <c r="S552" s="316">
        <f t="shared" ca="1" si="103"/>
        <v>9</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2288</v>
      </c>
      <c r="S553" s="316">
        <f t="shared" ca="1" si="103"/>
        <v>9</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2288</v>
      </c>
      <c r="S554" s="316">
        <f t="shared" ca="1" si="103"/>
        <v>9</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2288</v>
      </c>
      <c r="S555" s="316">
        <f t="shared" ca="1" si="103"/>
        <v>19</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2288</v>
      </c>
      <c r="S556" s="316">
        <f t="shared" ca="1" si="103"/>
        <v>19</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2288</v>
      </c>
      <c r="S557" s="316">
        <f t="shared" ca="1" si="103"/>
        <v>9</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2288</v>
      </c>
      <c r="S558" s="316">
        <f t="shared" ca="1" si="103"/>
        <v>9</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2288</v>
      </c>
      <c r="S559" s="316">
        <f t="shared" ca="1" si="103"/>
        <v>9</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2288</v>
      </c>
      <c r="S560" s="316">
        <f t="shared" ca="1" si="103"/>
        <v>9</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2288</v>
      </c>
      <c r="S561" s="316">
        <f t="shared" ca="1" si="103"/>
        <v>9</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2288</v>
      </c>
      <c r="S562" s="316">
        <f t="shared" ca="1" si="103"/>
        <v>9</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2288</v>
      </c>
      <c r="S563" s="316">
        <f t="shared" ca="1" si="103"/>
        <v>9</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2288</v>
      </c>
      <c r="S564" s="316">
        <f t="shared" ca="1" si="103"/>
        <v>9</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2288</v>
      </c>
      <c r="S565" s="316">
        <f t="shared" ca="1" si="103"/>
        <v>9</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2288</v>
      </c>
      <c r="S566" s="316">
        <f t="shared" ca="1" si="103"/>
        <v>9</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2288</v>
      </c>
      <c r="S567" s="316">
        <f t="shared" ca="1" si="103"/>
        <v>9</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2288</v>
      </c>
      <c r="S568" s="316">
        <f t="shared" ca="1" si="103"/>
        <v>9</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2288</v>
      </c>
      <c r="S569" s="316">
        <f t="shared" ca="1" si="103"/>
        <v>9</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2288</v>
      </c>
      <c r="S570" s="316">
        <f t="shared" ca="1" si="103"/>
        <v>9</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2288</v>
      </c>
      <c r="S571" s="316">
        <f t="shared" ca="1" si="103"/>
        <v>9</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2288</v>
      </c>
      <c r="S572" s="316">
        <f t="shared" ca="1" si="103"/>
        <v>9</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2288</v>
      </c>
      <c r="S573" s="316">
        <f t="shared" ca="1" si="103"/>
        <v>9</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2288</v>
      </c>
      <c r="S574" s="316">
        <f t="shared" ca="1" si="103"/>
        <v>9</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2288</v>
      </c>
      <c r="S575" s="316">
        <f t="shared" ca="1" si="103"/>
        <v>9</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2288</v>
      </c>
      <c r="S576" s="316">
        <f t="shared" ca="1" si="103"/>
        <v>9</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2288</v>
      </c>
      <c r="S577" s="316">
        <f t="shared" ca="1" si="103"/>
        <v>9</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2288</v>
      </c>
      <c r="S578" s="316">
        <f t="shared" ca="1" si="103"/>
        <v>9</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2288</v>
      </c>
      <c r="S579" s="316">
        <f t="shared" ca="1" si="103"/>
        <v>9</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2288</v>
      </c>
      <c r="S580" s="316">
        <f t="shared" ca="1" si="103"/>
        <v>9</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2288</v>
      </c>
      <c r="S581" s="316">
        <f t="shared" ca="1" si="103"/>
        <v>9</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2288</v>
      </c>
      <c r="S582" s="316">
        <f t="shared" ca="1" si="103"/>
        <v>9</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2288</v>
      </c>
      <c r="S583" s="316">
        <f t="shared" ca="1" si="103"/>
        <v>9</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2288</v>
      </c>
      <c r="S584" s="316">
        <f t="shared" ca="1" si="103"/>
        <v>9</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2288</v>
      </c>
      <c r="S585" s="316">
        <f t="shared" ca="1" si="103"/>
        <v>9</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2288</v>
      </c>
      <c r="S586" s="316">
        <f t="shared" ca="1" si="103"/>
        <v>9</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2288</v>
      </c>
      <c r="S587" s="316">
        <f t="shared" ca="1" si="103"/>
        <v>9</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2288</v>
      </c>
      <c r="S588" s="316">
        <f t="shared" ca="1" si="103"/>
        <v>9</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2288</v>
      </c>
      <c r="S589" s="316">
        <f t="shared" ca="1" si="103"/>
        <v>9</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2288</v>
      </c>
      <c r="S590" s="316">
        <f t="shared" ca="1" si="103"/>
        <v>9</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2288</v>
      </c>
      <c r="S591" s="316">
        <f t="shared" ca="1" si="103"/>
        <v>9</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2288</v>
      </c>
      <c r="S592" s="316">
        <f t="shared" ca="1" si="103"/>
        <v>9</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2288</v>
      </c>
      <c r="S593" s="316">
        <f t="shared" ca="1" si="103"/>
        <v>9</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2288</v>
      </c>
      <c r="S594" s="316">
        <f t="shared" ca="1" si="103"/>
        <v>9</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2288</v>
      </c>
      <c r="S595" s="316">
        <f t="shared" ca="1" si="103"/>
        <v>9</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2288</v>
      </c>
      <c r="S596" s="316">
        <f t="shared" ca="1" si="103"/>
        <v>9</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2288</v>
      </c>
      <c r="S597" s="316">
        <f t="shared" ca="1" si="103"/>
        <v>9</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2288</v>
      </c>
      <c r="S598" s="316">
        <f t="shared" ca="1" si="103"/>
        <v>9</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2288</v>
      </c>
      <c r="S599" s="316">
        <f t="shared" ca="1" si="103"/>
        <v>9</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2288</v>
      </c>
      <c r="S600" s="316">
        <f t="shared" ca="1" si="103"/>
        <v>9</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2288</v>
      </c>
      <c r="S601" s="316">
        <f t="shared" ca="1" si="103"/>
        <v>9</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2288</v>
      </c>
      <c r="S602" s="316">
        <f t="shared" ca="1" si="103"/>
        <v>9</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2288</v>
      </c>
      <c r="S603" s="316">
        <f t="shared" ca="1" si="103"/>
        <v>9</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2288</v>
      </c>
      <c r="S604" s="316">
        <f t="shared" ca="1" si="103"/>
        <v>9</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2288</v>
      </c>
      <c r="S605" s="316">
        <f t="shared" ca="1" si="103"/>
        <v>9</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2288</v>
      </c>
      <c r="S606" s="316">
        <f t="shared" ref="S606:S669" ca="1" si="114">ROUND(R606*B606/10000,0)</f>
        <v>9</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2288</v>
      </c>
      <c r="S607" s="316">
        <f t="shared" ca="1" si="114"/>
        <v>9</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2288</v>
      </c>
      <c r="S608" s="316">
        <f t="shared" ca="1" si="114"/>
        <v>9</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2288</v>
      </c>
      <c r="S609" s="316">
        <f t="shared" ca="1" si="114"/>
        <v>9</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2288</v>
      </c>
      <c r="S610" s="316">
        <f t="shared" ca="1" si="114"/>
        <v>9</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53" t="s">
        <v>949</v>
      </c>
      <c r="B1" s="3653"/>
      <c r="C1" s="3653"/>
      <c r="D1" s="3653"/>
    </row>
    <row r="2" spans="1:4" ht="18">
      <c r="A2" s="3654" t="s">
        <v>933</v>
      </c>
      <c r="B2" s="3654"/>
      <c r="C2" s="3654"/>
      <c r="D2" s="3654"/>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54" t="s">
        <v>939</v>
      </c>
      <c r="B6" s="3654"/>
      <c r="C6" s="3654"/>
      <c r="D6" s="3654"/>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55" t="s">
        <v>942</v>
      </c>
      <c r="B11" s="3647"/>
      <c r="C11" s="3647"/>
      <c r="D11" s="3647"/>
    </row>
    <row r="12" spans="1:4" ht="15.75">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spans="1:4" ht="30" customHeight="1">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spans="1:4" ht="15.75" customHeight="1">
      <c r="A14" s="3647" t="str">
        <f>IF(项目基本情况!B8="抵押","4.本次评估估价师所知悉的法定优先受偿款情况说明如下：","——")</f>
        <v>4.本次评估估价师所知悉的法定优先受偿款情况说明如下：</v>
      </c>
      <c r="B14" s="3652"/>
      <c r="C14" s="3652"/>
      <c r="D14" s="3652"/>
    </row>
    <row r="15" spans="1:4" ht="42" customHeight="1">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spans="1:4" ht="30" customHeight="1">
      <c r="A16" s="3649" t="s">
        <v>943</v>
      </c>
      <c r="B16" s="3649"/>
      <c r="C16" s="3649"/>
      <c r="D16" s="3649"/>
    </row>
    <row r="17" spans="1:4" ht="144" customHeight="1">
      <c r="A17" s="3649" t="s">
        <v>944</v>
      </c>
      <c r="B17" s="3649"/>
      <c r="C17" s="3649"/>
      <c r="D17" s="3649"/>
    </row>
    <row r="18" spans="1:4" ht="15.75" customHeight="1">
      <c r="A18" s="3647" t="str">
        <f>IF(项目基本情况!B8="抵押",结果表!K120,"——")</f>
        <v>故，本次评估不存在估价师知悉的法定优先受偿款</v>
      </c>
      <c r="B18" s="3647"/>
      <c r="C18" s="3647"/>
      <c r="D18" s="3647"/>
    </row>
    <row r="19" spans="1:4" ht="46.5" customHeight="1">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spans="1:4" ht="57.75" customHeight="1">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7"/>
      <c r="C20" s="3647"/>
      <c r="D20" s="3647"/>
    </row>
    <row r="21" spans="1:4" ht="57.75" customHeight="1">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0"/>
      <c r="C21" s="3650"/>
      <c r="D21" s="3650"/>
    </row>
    <row r="22" spans="1:4" ht="18.75" customHeight="1">
      <c r="A22" s="3651" t="s">
        <v>945</v>
      </c>
      <c r="B22" s="3651"/>
      <c r="C22" s="3651"/>
      <c r="D22" s="3651"/>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48">
        <v>42551</v>
      </c>
      <c r="D31" s="36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61" t="s">
        <v>956</v>
      </c>
      <c r="B15" s="3656" t="s">
        <v>109</v>
      </c>
      <c r="C15" s="3657"/>
    </row>
    <row r="16" spans="1:7" ht="13.5">
      <c r="A16" s="3662"/>
      <c r="B16" s="3656" t="s">
        <v>42</v>
      </c>
      <c r="C16" s="3657"/>
    </row>
    <row r="17" spans="1:3" ht="13.5">
      <c r="A17" s="3662"/>
      <c r="B17" s="3659" t="s">
        <v>957</v>
      </c>
      <c r="C17" s="1524" t="s">
        <v>956</v>
      </c>
    </row>
    <row r="18" spans="1:3" ht="13.5">
      <c r="A18" s="3662"/>
      <c r="B18" s="3659"/>
      <c r="C18" s="1524" t="s">
        <v>958</v>
      </c>
    </row>
    <row r="19" spans="1:3" ht="13.5">
      <c r="A19" s="3662"/>
      <c r="B19" s="3659"/>
      <c r="C19" s="1524" t="s">
        <v>959</v>
      </c>
    </row>
    <row r="20" spans="1:3" ht="13.5">
      <c r="A20" s="3663"/>
      <c r="B20" s="3658" t="s">
        <v>960</v>
      </c>
      <c r="C20" s="3657"/>
    </row>
    <row r="21" spans="1:3" ht="13.5">
      <c r="A21" s="1525" t="s">
        <v>961</v>
      </c>
      <c r="B21" s="1526"/>
      <c r="C21" s="1527"/>
    </row>
    <row r="22" spans="1:3" ht="13.5">
      <c r="A22" s="3660" t="s">
        <v>962</v>
      </c>
      <c r="B22" s="3658" t="s">
        <v>963</v>
      </c>
      <c r="C22" s="3657"/>
    </row>
    <row r="23" spans="1:3" ht="13.5">
      <c r="A23" s="3660"/>
      <c r="B23" s="3658" t="s">
        <v>964</v>
      </c>
      <c r="C23" s="3657"/>
    </row>
    <row r="24" spans="1:3" ht="13.5">
      <c r="A24" s="3660"/>
      <c r="B24" s="3658" t="s">
        <v>965</v>
      </c>
      <c r="C24" s="3657"/>
    </row>
    <row r="25" spans="1:3" ht="13.5">
      <c r="A25" s="3660"/>
      <c r="B25" s="3659" t="s">
        <v>966</v>
      </c>
      <c r="C25" s="1524" t="s">
        <v>967</v>
      </c>
    </row>
    <row r="26" spans="1:3" ht="13.5">
      <c r="A26" s="3660"/>
      <c r="B26" s="3659"/>
      <c r="C26" s="1524" t="s">
        <v>968</v>
      </c>
    </row>
    <row r="27" spans="1:3" ht="13.5">
      <c r="A27" s="3660"/>
      <c r="B27" s="3659"/>
      <c r="C27" s="1524" t="s">
        <v>969</v>
      </c>
    </row>
    <row r="28" spans="1:3" ht="13.5">
      <c r="A28" s="3660"/>
      <c r="B28" s="3659"/>
      <c r="C28" s="1524" t="s">
        <v>970</v>
      </c>
    </row>
    <row r="29" spans="1:3" ht="13.5">
      <c r="A29" s="3660"/>
      <c r="B29" s="3659"/>
      <c r="C29" s="1524" t="s">
        <v>971</v>
      </c>
    </row>
    <row r="30" spans="1:3" ht="13.5">
      <c r="A30" s="3660"/>
      <c r="B30" s="3659"/>
      <c r="C30" s="1524" t="s">
        <v>972</v>
      </c>
    </row>
    <row r="31" spans="1:3" ht="13.5">
      <c r="A31" s="3660"/>
      <c r="B31" s="3659"/>
      <c r="C31" s="1524" t="s">
        <v>973</v>
      </c>
    </row>
    <row r="32" spans="1:3" ht="13.5">
      <c r="A32" s="3660"/>
      <c r="B32" s="3659"/>
      <c r="C32" s="1524" t="s">
        <v>974</v>
      </c>
    </row>
    <row r="33" spans="1:3" ht="13.5">
      <c r="A33" s="3660"/>
      <c r="B33" s="3659"/>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45321</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64" t="s">
        <v>2159</v>
      </c>
      <c r="B17" s="3664"/>
      <c r="C17" s="3664"/>
      <c r="D17" s="3664"/>
      <c r="E17" s="3664"/>
      <c r="F17" s="3664"/>
      <c r="G17" s="3664"/>
      <c r="H17" s="3664"/>
    </row>
    <row r="18" spans="1:8" ht="24" customHeight="1">
      <c r="A18" s="3665" t="s">
        <v>2160</v>
      </c>
      <c r="B18" s="3665"/>
      <c r="C18" s="3665"/>
      <c r="D18" s="2331"/>
      <c r="E18" s="3666" t="s">
        <v>2161</v>
      </c>
      <c r="F18" s="3665"/>
      <c r="G18" s="3665"/>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商办车库-新</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2024-01-30T02:47:41Z</dcterms:modified>
</cp:coreProperties>
</file>